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<sst xmlns="http://schemas.openxmlformats.org/spreadsheetml/2006/main" count="71" uniqueCount="71">
  <si>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</si>
  <si>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</si>
  <si>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</si>
  <si>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</si>
  <si>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</si>
  <si>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</si>
  <si>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</si>
  <si>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</si>
  <si>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</si>
  <si>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</si>
  <si>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</si>
  <si>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</si>
  <si>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</si>
  <si>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</si>
  <si>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</si>
  <si>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</si>
  <si>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</si>
  <si>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</si>
  <si>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</si>
  <si>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</si>
  <si>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</si>
  <si>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</si>
  <si>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</si>
  <si>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</si>
  <si>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</si>
  <si>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</si>
  <si>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</si>
  <si>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</si>
  <si>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</si>
  <si>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</si>
  <si>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</si>
  <si>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</si>
  <si>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</si>
  <si>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</si>
  <si>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</si>
  <si>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</si>
  <si>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</si>
  <si>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</si>
  <si>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</si>
  <si>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</si>
  <si>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</si>
  <si>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</si>
  <si>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</si>
  <si>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</si>
  <si>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</si>
  <si>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</si>
  <si>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</si>
  <si>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</si>
  <si>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</si>
  <si>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</si>
  <si>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</si>
  <si>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</si>
  <si>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</si>
  <si>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</si>
  <si>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</si>
  <si>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</si>
  <si>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</si>
  <si>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</si>
  <si>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</si>
  <si>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</si>
  <si>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</si>
  <si>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</si>
  <si>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</si>
  <si>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</si>
  <si>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</si>
  <si>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</si>
  <si>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</si>
  <si>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</si>
  <si>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</si>
  <si>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</si>
  <si>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黄浦区高福里地块征收补偿计算表（参意见稿）--朱律师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</si>
</sst>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5" sqref="F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70</v>
      </c>
      <c r="C1" s="63"/>
      <c r="D1" s="63"/>
      <c r="E1" s="63"/>
    </row>
    <row r="2" spans="2:7" ht="19.5" customHeight="1" x14ac:dyDescent="0.15">
      <c r="B2" s="57" t="s">
        <v>36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39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25</v>
      </c>
      <c r="D4" s="12">
        <f>IF(C4="公房",0.8,1)</f>
        <v>0.8</v>
      </c>
      <c r="E4" s="45" t="s">
        <v>43</v>
      </c>
    </row>
    <row r="5" spans="2:7" ht="20.100000000000001" customHeight="1" x14ac:dyDescent="0.15">
      <c r="B5" s="54" t="s">
        <v>41</v>
      </c>
      <c r="C5" s="69">
        <v>22</v>
      </c>
      <c r="D5" s="70"/>
      <c r="E5" s="52" t="s">
        <v>37</v>
      </c>
      <c r="G5" s="53" t="s">
        <v>44</v>
      </c>
    </row>
    <row r="6" spans="2:7" ht="20.100000000000001" customHeight="1" x14ac:dyDescent="0.15">
      <c r="B6" s="11" t="s">
        <v>38</v>
      </c>
      <c r="C6" s="79">
        <v>1.54</v>
      </c>
      <c r="D6" s="80"/>
      <c r="E6" s="14" t="s">
        <v>27</v>
      </c>
      <c r="G6" s="53" t="s">
        <v>42</v>
      </c>
    </row>
    <row r="7" spans="2:7" ht="20.100000000000001" customHeight="1" x14ac:dyDescent="0.15">
      <c r="B7" s="11" t="s">
        <v>26</v>
      </c>
      <c r="C7" s="77">
        <f>IF(OR(B5="建筑面积（这里下拉选择！）",C4="私房"),C5,ROUND(C5*1.54,2))</f>
        <v>33.880000000000003</v>
      </c>
      <c r="D7" s="78"/>
      <c r="E7" s="13" t="s">
        <v>40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52028</v>
      </c>
      <c r="D9" s="72"/>
      <c r="E9" s="13" t="s">
        <v>47</v>
      </c>
    </row>
    <row r="10" spans="2:7" ht="20.100000000000001" customHeight="1" x14ac:dyDescent="0.15">
      <c r="B10" s="11" t="s">
        <v>5</v>
      </c>
      <c r="C10" s="73">
        <f>MAX(C11,C9)</f>
        <v>52028</v>
      </c>
      <c r="D10" s="74"/>
      <c r="E10" s="46" t="s">
        <v>66</v>
      </c>
    </row>
    <row r="11" spans="2:7" ht="20.100000000000001" customHeight="1" x14ac:dyDescent="0.15">
      <c r="B11" s="11" t="s">
        <v>6</v>
      </c>
      <c r="C11" s="71">
        <v>52028</v>
      </c>
      <c r="D11" s="72"/>
      <c r="E11" s="15" t="s">
        <v>67</v>
      </c>
    </row>
    <row r="12" spans="2:7" ht="20.100000000000001" customHeight="1" x14ac:dyDescent="0.15">
      <c r="B12" s="11" t="s">
        <v>7</v>
      </c>
      <c r="C12" s="75">
        <v>0.95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48</v>
      </c>
    </row>
    <row r="15" spans="2:7" ht="20.100000000000001" customHeight="1" x14ac:dyDescent="0.15">
      <c r="B15" s="18" t="s">
        <v>16</v>
      </c>
      <c r="C15" s="67">
        <f>C10*C7*D4</f>
        <v>1410166.9120000002</v>
      </c>
      <c r="D15" s="67"/>
      <c r="E15" s="19" t="s">
        <v>13</v>
      </c>
      <c r="G15" s="53" t="s">
        <v>50</v>
      </c>
    </row>
    <row r="16" spans="2:7" ht="20.100000000000001" customHeight="1" x14ac:dyDescent="0.15">
      <c r="B16" s="18" t="s">
        <v>17</v>
      </c>
      <c r="C16" s="67">
        <f>C11*30%*C7</f>
        <v>528812.59200000006</v>
      </c>
      <c r="D16" s="67"/>
      <c r="E16" s="19" t="s">
        <v>11</v>
      </c>
    </row>
    <row r="17" spans="2:7" ht="20.100000000000001" customHeight="1" x14ac:dyDescent="0.15">
      <c r="B17" s="55" t="s">
        <v>49</v>
      </c>
      <c r="C17" s="67">
        <f>IF(B17=G15,C11*15,C11*12)</f>
        <v>780420</v>
      </c>
      <c r="D17" s="67"/>
      <c r="E17" s="19" t="s">
        <v>14</v>
      </c>
    </row>
    <row r="18" spans="2:7" ht="20.100000000000001" customHeight="1" x14ac:dyDescent="0.15">
      <c r="B18" s="20" t="s">
        <v>18</v>
      </c>
      <c r="C18" s="68">
        <f>C17+C16+C15</f>
        <v>2719399.5040000007</v>
      </c>
      <c r="D18" s="68"/>
      <c r="E18" s="19" t="s">
        <v>15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33</v>
      </c>
      <c r="C20" s="82"/>
      <c r="D20" s="82"/>
      <c r="E20" s="83"/>
    </row>
    <row r="21" spans="2:7" ht="20.100000000000001" customHeight="1" x14ac:dyDescent="0.15">
      <c r="B21" s="47" t="s">
        <v>28</v>
      </c>
      <c r="C21" s="84">
        <v>2</v>
      </c>
      <c r="D21" s="85"/>
      <c r="E21" s="48" t="s">
        <v>64</v>
      </c>
    </row>
    <row r="22" spans="2:7" ht="20.100000000000001" customHeight="1" x14ac:dyDescent="0.15">
      <c r="B22" s="11" t="s">
        <v>30</v>
      </c>
      <c r="C22" s="86">
        <v>21000</v>
      </c>
      <c r="D22" s="87"/>
      <c r="E22" s="13" t="s">
        <v>62</v>
      </c>
    </row>
    <row r="23" spans="2:7" ht="20.100000000000001" customHeight="1" x14ac:dyDescent="0.15">
      <c r="B23" s="11" t="s">
        <v>29</v>
      </c>
      <c r="C23" s="67">
        <f>C21*C22*22</f>
        <v>924000</v>
      </c>
      <c r="D23" s="67"/>
      <c r="E23" s="13" t="s">
        <v>32</v>
      </c>
    </row>
    <row r="24" spans="2:7" ht="20.100000000000001" customHeight="1" x14ac:dyDescent="0.15">
      <c r="B24" s="23" t="s">
        <v>31</v>
      </c>
      <c r="C24" s="88" t="str">
        <f>"需要"&amp;G24&amp;"人才能托底"</f>
        <v>需要6人才能托底</v>
      </c>
      <c r="D24" s="89"/>
      <c r="E24" s="51" t="s">
        <v>63</v>
      </c>
      <c r="G24" s="53">
        <f>TRUNC(C18/(C22*22))+1</f>
        <v>6</v>
      </c>
    </row>
    <row r="25" spans="2:7" ht="20.100000000000001" customHeight="1" x14ac:dyDescent="0.15">
      <c r="B25" s="23" t="s">
        <v>34</v>
      </c>
      <c r="C25" s="67">
        <f>IF((C23-C18)&gt;0,(C23-C18),0)</f>
        <v>0</v>
      </c>
      <c r="D25" s="67"/>
      <c r="E25" s="51" t="s">
        <v>35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68</v>
      </c>
    </row>
    <row r="29" spans="2:7" ht="20.100000000000001" customHeight="1" x14ac:dyDescent="0.15">
      <c r="B29" s="29"/>
      <c r="C29" s="6"/>
      <c r="D29" s="30"/>
      <c r="E29" s="19"/>
    </row>
    <row r="30" spans="2:7" ht="20.100000000000001" customHeight="1" x14ac:dyDescent="0.15">
      <c r="B30" s="29" t="s">
        <v>54</v>
      </c>
      <c r="C30" s="6">
        <v>500000</v>
      </c>
      <c r="D30" s="30">
        <f>C30</f>
        <v>500000</v>
      </c>
      <c r="E30" s="19" t="s">
        <v>51</v>
      </c>
    </row>
    <row r="31" spans="2:7" ht="20.100000000000001" customHeight="1" x14ac:dyDescent="0.15">
      <c r="B31" s="29"/>
      <c r="C31" s="6"/>
      <c r="D31" s="30"/>
      <c r="E31" s="19"/>
    </row>
    <row r="32" spans="2:7" ht="20.100000000000001" customHeight="1" x14ac:dyDescent="0.15">
      <c r="B32" s="29" t="s">
        <v>55</v>
      </c>
      <c r="C32" s="6">
        <v>14000</v>
      </c>
      <c r="D32" s="30">
        <f>IF(C32*C7&gt;400000,C32*C7,400000)</f>
        <v>474320.00000000006</v>
      </c>
      <c r="E32" s="19" t="s">
        <v>57</v>
      </c>
    </row>
    <row r="33" spans="2:5" ht="20.100000000000001" customHeight="1" x14ac:dyDescent="0.15">
      <c r="B33" s="29" t="s">
        <v>56</v>
      </c>
      <c r="C33" s="6"/>
      <c r="D33" s="44"/>
      <c r="E33" s="19"/>
    </row>
    <row r="34" spans="2:5" ht="20.100000000000001" customHeight="1" x14ac:dyDescent="0.15">
      <c r="B34" s="29" t="s">
        <v>20</v>
      </c>
      <c r="C34" s="6">
        <v>24</v>
      </c>
      <c r="D34" s="30">
        <f>IF(C34*C7&gt;1000,C34*C7,1000)</f>
        <v>1000</v>
      </c>
      <c r="E34" s="19" t="s">
        <v>53</v>
      </c>
    </row>
    <row r="35" spans="2:5" ht="20.100000000000001" customHeight="1" x14ac:dyDescent="0.15">
      <c r="B35" s="29" t="s">
        <v>21</v>
      </c>
      <c r="C35" s="6">
        <v>2000</v>
      </c>
      <c r="D35" s="30">
        <v>2000</v>
      </c>
      <c r="E35" s="19" t="s">
        <v>22</v>
      </c>
    </row>
    <row r="36" spans="2:5" ht="20.100000000000001" customHeight="1" x14ac:dyDescent="0.15">
      <c r="B36" s="29" t="s">
        <v>58</v>
      </c>
      <c r="C36" s="6">
        <v>500</v>
      </c>
      <c r="D36" s="30">
        <f>C36*C7</f>
        <v>16940</v>
      </c>
      <c r="E36" s="19" t="s">
        <v>59</v>
      </c>
    </row>
    <row r="37" spans="2:5" ht="20.100000000000001" customHeight="1" x14ac:dyDescent="0.15">
      <c r="B37" s="29" t="s">
        <v>65</v>
      </c>
      <c r="C37" s="6">
        <v>100000</v>
      </c>
      <c r="D37" s="30">
        <f>C37</f>
        <v>100000</v>
      </c>
      <c r="E37" s="19" t="s">
        <v>52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24</v>
      </c>
      <c r="C39" s="58">
        <f>SUM(D28:D38)</f>
        <v>1594260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61</v>
      </c>
      <c r="C41" s="30">
        <v>10000</v>
      </c>
      <c r="D41" s="30">
        <v>10000</v>
      </c>
      <c r="E41" s="19" t="s">
        <v>60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45</v>
      </c>
      <c r="C43" s="37"/>
      <c r="D43" s="38">
        <f>SUM(IF(C18&gt;C23,C18,C23),D28:D31,D34:D38,D41)</f>
        <v>3849339.5040000007</v>
      </c>
      <c r="E43" s="39"/>
    </row>
    <row r="44" spans="2:5" ht="20.100000000000001" customHeight="1" x14ac:dyDescent="0.15">
      <c r="B44" s="40" t="s">
        <v>46</v>
      </c>
      <c r="C44" s="41"/>
      <c r="D44" s="42">
        <f>SUM(IF(C18&gt;C23,C18,C23),C39,D41)</f>
        <v>4323659.5040000007</v>
      </c>
      <c r="E44" s="43"/>
    </row>
    <row r="45" spans="2:5" ht="23.25" customHeight="1" x14ac:dyDescent="0.15">
      <c r="B45" s="56" t="s">
        <v>69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2021-09-10T12:56:14Z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