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5" i="4" l="1"/>
  <c r="C10" i="4" l="1"/>
  <c r="D28" i="4" l="1"/>
  <c r="C17" i="4"/>
  <c r="C7" i="4" l="1"/>
  <c r="D34" i="4" s="1"/>
  <c r="D30" i="4" l="1"/>
  <c r="C23" i="4"/>
  <c r="D4" i="4" l="1"/>
  <c r="C15" i="4" l="1"/>
  <c r="D32" i="4"/>
  <c r="C16" i="4"/>
  <c r="D29" i="4"/>
  <c r="C37" i="4" l="1"/>
  <c r="C18" i="4"/>
  <c r="D42" i="4" l="1"/>
  <c r="G24" i="4"/>
  <c r="C24" i="4" s="1"/>
  <c r="C25" i="4"/>
  <c r="D41" i="4"/>
</calcChain>
</file>

<file path=xl/sharedStrings.xml><?xml version="1.0" encoding="utf-8"?>
<sst xmlns="http://schemas.openxmlformats.org/spreadsheetml/2006/main" count="71" uniqueCount="71">
  <si>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</si>
  <si>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</si>
  <si>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</si>
  <si>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</si>
  <si>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</si>
  <si>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</si>
  <si>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</si>
  <si>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</si>
  <si>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</si>
  <si>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</si>
  <si>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</si>
  <si>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</si>
  <si>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</si>
  <si>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</si>
  <si>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</si>
  <si>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</si>
  <si>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</si>
  <si>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</si>
  <si>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</si>
  <si>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</si>
  <si>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</si>
  <si>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</si>
  <si>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</si>
  <si>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</si>
  <si>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</si>
  <si>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</si>
  <si>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</si>
  <si>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</si>
  <si>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</si>
  <si>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</si>
  <si>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居住困难人数，参照政策标准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</si>
  <si>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</si>
  <si>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</si>
  <si>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</si>
  <si>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</si>
  <si>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</si>
  <si>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</si>
  <si>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</si>
  <si>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</si>
  <si>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</si>
  <si>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</si>
  <si>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</si>
  <si>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</si>
  <si>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</si>
  <si>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输入基地的评估均价。（表格内仅为参考价）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</si>
  <si>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</si>
  <si>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</si>
  <si>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</si>
  <si>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</si>
  <si>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</si>
  <si>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</si>
  <si>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</si>
  <si>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</si>
  <si>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</si>
  <si>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</si>
  <si>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在签约期的第一个月内签约的居民，每户奖励50万元。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</si>
  <si>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</si>
  <si>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</si>
  <si>
    <t>判断多少人才可托底</t>
    <phoneticPr fontId="35" type="noConversion"/>
  </si>
  <si>
    <t>居困人口增加的保障补贴</t>
    <phoneticPr fontId="19" type="noConversion"/>
  </si>
  <si>
    <t>采用评估单价/评估均价较高者。若本地块尚无评估价，参照周边街坊</t>
    <phoneticPr fontId="35" type="noConversion"/>
  </si>
  <si>
    <t xml:space="preserve">   搬迁费</t>
    <phoneticPr fontId="19" type="noConversion"/>
  </si>
  <si>
    <t>每平米600元，每户保底10万元。</t>
    <phoneticPr fontId="19" type="noConversion"/>
  </si>
  <si>
    <t>5、（无）不予认定建筑面积材料补贴</t>
    <phoneticPr fontId="19" type="noConversion"/>
  </si>
  <si>
    <t>被征收房屋的房地产评估单价×被征收房屋的建筑面积（公房0.8）</t>
    <phoneticPr fontId="19" type="noConversion"/>
  </si>
  <si>
    <t>约定期限内搬迁，每户奖励50万元。</t>
    <phoneticPr fontId="19" type="noConversion"/>
  </si>
  <si>
    <t>保底1千元，选购期房翻倍。</t>
    <phoneticPr fontId="19" type="noConversion"/>
  </si>
  <si>
    <t>各区不一样，该数据仅供参考。</t>
    <phoneticPr fontId="19" type="noConversion"/>
  </si>
  <si>
    <t>套型评估均价=评估均价×补贴面积（公房15平米，成套私房12平米）</t>
    <phoneticPr fontId="19" type="noConversion"/>
  </si>
  <si>
    <t>实际使用面积（这里下拉选择！）</t>
    <phoneticPr fontId="19" type="noConversion"/>
  </si>
  <si>
    <t>黄浦区501及504街坊征收补偿款计算表--朱律师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</si>
</sst>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.0_ "/>
    <numFmt numFmtId="177" formatCode="#,##0.00_ "/>
    <numFmt numFmtId="178" formatCode="#,##0_ "/>
    <numFmt numFmtId="179" formatCode="&quot;¥&quot;#,##0_);[Red]\(&quot;¥&quot;#,##0\)"/>
  </numFmts>
  <fonts count="36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  <font>
      <sz val="11"/>
      <color rgb="FFFF0000"/>
      <name val="仿宋"/>
      <family val="3"/>
      <charset val="134"/>
    </font>
    <font>
      <sz val="9"/>
      <name val="宋体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34" fillId="28" borderId="10" xfId="0" applyFont="1" applyFill="1" applyBorder="1" applyAlignment="1" applyProtection="1">
      <alignment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9" fontId="22" fillId="28" borderId="15" xfId="0" applyNumberFormat="1" applyFont="1" applyFill="1" applyBorder="1" applyAlignment="1" applyProtection="1">
      <alignment horizontal="center" vertical="center"/>
      <protection hidden="1"/>
    </xf>
    <xf numFmtId="179" fontId="22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showGridLines="0" tabSelected="1" zoomScale="110" zoomScaleNormal="110" zoomScaleSheetLayoutView="100" workbookViewId="0">
      <selection activeCell="H4" sqref="H4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3" t="s">
        <v>70</v>
      </c>
      <c r="C1" s="64"/>
      <c r="D1" s="64"/>
      <c r="E1" s="64"/>
    </row>
    <row r="2" spans="2:7" ht="19.5" customHeight="1" x14ac:dyDescent="0.15">
      <c r="B2" s="58" t="s">
        <v>33</v>
      </c>
      <c r="C2" s="58"/>
      <c r="D2" s="58"/>
      <c r="E2" s="58"/>
    </row>
    <row r="3" spans="2:7" ht="20.100000000000001" customHeight="1" x14ac:dyDescent="0.15">
      <c r="B3" s="49" t="s">
        <v>0</v>
      </c>
      <c r="C3" s="61" t="s">
        <v>36</v>
      </c>
      <c r="D3" s="62"/>
      <c r="E3" s="50" t="s">
        <v>1</v>
      </c>
    </row>
    <row r="4" spans="2:7" ht="20.100000000000001" customHeight="1" x14ac:dyDescent="0.15">
      <c r="B4" s="11" t="s">
        <v>2</v>
      </c>
      <c r="C4" s="5" t="s">
        <v>22</v>
      </c>
      <c r="D4" s="12">
        <f>IF(C4="公房",0.8,1)</f>
        <v>0.8</v>
      </c>
      <c r="E4" s="45" t="s">
        <v>39</v>
      </c>
    </row>
    <row r="5" spans="2:7" ht="20.100000000000001" customHeight="1" x14ac:dyDescent="0.15">
      <c r="B5" s="54" t="s">
        <v>69</v>
      </c>
      <c r="C5" s="70">
        <v>15</v>
      </c>
      <c r="D5" s="71"/>
      <c r="E5" s="52" t="s">
        <v>34</v>
      </c>
      <c r="G5" s="53" t="s">
        <v>40</v>
      </c>
    </row>
    <row r="6" spans="2:7" ht="20.100000000000001" customHeight="1" x14ac:dyDescent="0.15">
      <c r="B6" s="11" t="s">
        <v>35</v>
      </c>
      <c r="C6" s="80">
        <v>1.54</v>
      </c>
      <c r="D6" s="81"/>
      <c r="E6" s="14" t="s">
        <v>24</v>
      </c>
      <c r="G6" s="53" t="s">
        <v>38</v>
      </c>
    </row>
    <row r="7" spans="2:7" ht="20.100000000000001" customHeight="1" x14ac:dyDescent="0.15">
      <c r="B7" s="11" t="s">
        <v>23</v>
      </c>
      <c r="C7" s="78">
        <f>IF(OR(B5="建筑面积（这里下拉选择！）",C4="私房"),C5,C5*1.54)</f>
        <v>23.1</v>
      </c>
      <c r="D7" s="79"/>
      <c r="E7" s="13" t="s">
        <v>37</v>
      </c>
    </row>
    <row r="8" spans="2:7" ht="20.100000000000001" customHeight="1" x14ac:dyDescent="0.15">
      <c r="B8" s="11" t="s">
        <v>3</v>
      </c>
      <c r="C8" s="70">
        <v>0</v>
      </c>
      <c r="D8" s="71"/>
      <c r="E8" s="13"/>
    </row>
    <row r="9" spans="2:7" ht="20.100000000000001" customHeight="1" x14ac:dyDescent="0.15">
      <c r="B9" s="11" t="s">
        <v>4</v>
      </c>
      <c r="C9" s="72">
        <v>52003</v>
      </c>
      <c r="D9" s="73"/>
      <c r="E9" s="13" t="s">
        <v>43</v>
      </c>
    </row>
    <row r="10" spans="2:7" ht="20.100000000000001" customHeight="1" x14ac:dyDescent="0.15">
      <c r="B10" s="11" t="s">
        <v>5</v>
      </c>
      <c r="C10" s="74">
        <f>MAX(C11,C9)</f>
        <v>52003</v>
      </c>
      <c r="D10" s="75"/>
      <c r="E10" s="46" t="s">
        <v>60</v>
      </c>
    </row>
    <row r="11" spans="2:7" ht="20.100000000000001" customHeight="1" x14ac:dyDescent="0.15">
      <c r="B11" s="11" t="s">
        <v>6</v>
      </c>
      <c r="C11" s="72">
        <v>52003</v>
      </c>
      <c r="D11" s="73"/>
      <c r="E11" s="15" t="s">
        <v>44</v>
      </c>
    </row>
    <row r="12" spans="2:7" ht="20.100000000000001" customHeight="1" x14ac:dyDescent="0.15">
      <c r="B12" s="11" t="s">
        <v>7</v>
      </c>
      <c r="C12" s="76">
        <v>0.95</v>
      </c>
      <c r="D12" s="77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5" t="s">
        <v>8</v>
      </c>
      <c r="C14" s="66"/>
      <c r="D14" s="67"/>
      <c r="E14" s="17"/>
      <c r="G14" s="53" t="s">
        <v>45</v>
      </c>
    </row>
    <row r="15" spans="2:7" ht="20.100000000000001" customHeight="1" x14ac:dyDescent="0.15">
      <c r="B15" s="18" t="s">
        <v>14</v>
      </c>
      <c r="C15" s="68">
        <f>C10*C7*D4</f>
        <v>961015.44000000006</v>
      </c>
      <c r="D15" s="68"/>
      <c r="E15" s="19" t="s">
        <v>64</v>
      </c>
      <c r="G15" s="53" t="s">
        <v>47</v>
      </c>
    </row>
    <row r="16" spans="2:7" ht="20.100000000000001" customHeight="1" x14ac:dyDescent="0.15">
      <c r="B16" s="18" t="s">
        <v>15</v>
      </c>
      <c r="C16" s="68">
        <f>C11*30%*C7</f>
        <v>360380.79000000004</v>
      </c>
      <c r="D16" s="68"/>
      <c r="E16" s="19" t="s">
        <v>11</v>
      </c>
    </row>
    <row r="17" spans="2:7" ht="20.100000000000001" customHeight="1" x14ac:dyDescent="0.15">
      <c r="B17" s="55" t="s">
        <v>46</v>
      </c>
      <c r="C17" s="68">
        <f>IF(B17=G15,C11*15,C11*12)</f>
        <v>780045</v>
      </c>
      <c r="D17" s="68"/>
      <c r="E17" s="19" t="s">
        <v>68</v>
      </c>
    </row>
    <row r="18" spans="2:7" ht="20.100000000000001" customHeight="1" x14ac:dyDescent="0.15">
      <c r="B18" s="20" t="s">
        <v>16</v>
      </c>
      <c r="C18" s="69">
        <f>C17+C16+C15</f>
        <v>2101441.23</v>
      </c>
      <c r="D18" s="69"/>
      <c r="E18" s="19" t="s">
        <v>13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2" t="s">
        <v>31</v>
      </c>
      <c r="C20" s="83"/>
      <c r="D20" s="83"/>
      <c r="E20" s="84"/>
    </row>
    <row r="21" spans="2:7" ht="20.100000000000001" customHeight="1" x14ac:dyDescent="0.15">
      <c r="B21" s="47" t="s">
        <v>25</v>
      </c>
      <c r="C21" s="85">
        <v>2</v>
      </c>
      <c r="D21" s="86"/>
      <c r="E21" s="48" t="s">
        <v>30</v>
      </c>
    </row>
    <row r="22" spans="2:7" ht="20.100000000000001" customHeight="1" x14ac:dyDescent="0.15">
      <c r="B22" s="11" t="s">
        <v>27</v>
      </c>
      <c r="C22" s="87">
        <v>21000</v>
      </c>
      <c r="D22" s="88"/>
      <c r="E22" s="56" t="s">
        <v>67</v>
      </c>
    </row>
    <row r="23" spans="2:7" ht="20.100000000000001" customHeight="1" x14ac:dyDescent="0.15">
      <c r="B23" s="11" t="s">
        <v>26</v>
      </c>
      <c r="C23" s="68">
        <f>C21*C22*22</f>
        <v>924000</v>
      </c>
      <c r="D23" s="68"/>
      <c r="E23" s="13" t="s">
        <v>29</v>
      </c>
    </row>
    <row r="24" spans="2:7" ht="20.100000000000001" customHeight="1" x14ac:dyDescent="0.15">
      <c r="B24" s="23" t="s">
        <v>28</v>
      </c>
      <c r="C24" s="89" t="str">
        <f>"至少"&amp;G24&amp;"人才可托底"</f>
        <v>至少5人才可托底</v>
      </c>
      <c r="D24" s="90"/>
      <c r="E24" s="51" t="s">
        <v>58</v>
      </c>
      <c r="G24" s="53">
        <f>TRUNC(C18/(C22*22))+1</f>
        <v>5</v>
      </c>
    </row>
    <row r="25" spans="2:7" ht="20.100000000000001" customHeight="1" x14ac:dyDescent="0.15">
      <c r="B25" s="23" t="s">
        <v>32</v>
      </c>
      <c r="C25" s="68">
        <f>IF((C23-C18)&gt;0,(C23-C18),0)</f>
        <v>0</v>
      </c>
      <c r="D25" s="68"/>
      <c r="E25" s="51" t="s">
        <v>59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20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17</v>
      </c>
      <c r="C28" s="6">
        <v>500000</v>
      </c>
      <c r="D28" s="30">
        <f>C28</f>
        <v>500000</v>
      </c>
      <c r="E28" s="19" t="s">
        <v>55</v>
      </c>
    </row>
    <row r="29" spans="2:7" ht="20.100000000000001" customHeight="1" x14ac:dyDescent="0.15">
      <c r="B29" s="29" t="s">
        <v>48</v>
      </c>
      <c r="C29" s="6">
        <v>500000</v>
      </c>
      <c r="D29" s="30">
        <f>C29</f>
        <v>500000</v>
      </c>
      <c r="E29" s="19" t="s">
        <v>65</v>
      </c>
    </row>
    <row r="30" spans="2:7" ht="20.100000000000001" customHeight="1" x14ac:dyDescent="0.15">
      <c r="B30" s="29" t="s">
        <v>49</v>
      </c>
      <c r="C30" s="6">
        <v>14000</v>
      </c>
      <c r="D30" s="30">
        <f>IF(C30*C7&gt;400000,C30*C7,400000)</f>
        <v>400000</v>
      </c>
      <c r="E30" s="19" t="s">
        <v>51</v>
      </c>
    </row>
    <row r="31" spans="2:7" ht="20.100000000000001" customHeight="1" x14ac:dyDescent="0.15">
      <c r="B31" s="29" t="s">
        <v>50</v>
      </c>
      <c r="C31" s="6"/>
      <c r="D31" s="44"/>
      <c r="E31" s="19"/>
    </row>
    <row r="32" spans="2:7" ht="20.100000000000001" customHeight="1" x14ac:dyDescent="0.15">
      <c r="B32" s="29" t="s">
        <v>61</v>
      </c>
      <c r="C32" s="6">
        <v>24</v>
      </c>
      <c r="D32" s="30">
        <f>IF(C32*C7&gt;1000,C32*C7,1000)</f>
        <v>1000</v>
      </c>
      <c r="E32" s="19" t="s">
        <v>66</v>
      </c>
    </row>
    <row r="33" spans="2:5" ht="20.100000000000001" customHeight="1" x14ac:dyDescent="0.15">
      <c r="B33" s="29" t="s">
        <v>18</v>
      </c>
      <c r="C33" s="6">
        <v>2000</v>
      </c>
      <c r="D33" s="30">
        <v>2000</v>
      </c>
      <c r="E33" s="19" t="s">
        <v>19</v>
      </c>
    </row>
    <row r="34" spans="2:5" ht="20.100000000000001" customHeight="1" x14ac:dyDescent="0.15">
      <c r="B34" s="29" t="s">
        <v>52</v>
      </c>
      <c r="C34" s="6">
        <v>500</v>
      </c>
      <c r="D34" s="30">
        <f>C34*C7</f>
        <v>11550</v>
      </c>
      <c r="E34" s="19" t="s">
        <v>53</v>
      </c>
    </row>
    <row r="35" spans="2:5" ht="20.100000000000001" customHeight="1" x14ac:dyDescent="0.15">
      <c r="B35" s="29" t="s">
        <v>63</v>
      </c>
      <c r="C35" s="6">
        <v>100000</v>
      </c>
      <c r="D35" s="30">
        <f>MAX(100000,C8*600)</f>
        <v>100000</v>
      </c>
      <c r="E35" s="19" t="s">
        <v>62</v>
      </c>
    </row>
    <row r="36" spans="2:5" ht="20.100000000000001" customHeight="1" x14ac:dyDescent="0.15">
      <c r="B36" s="29"/>
      <c r="C36" s="6"/>
      <c r="D36" s="30"/>
      <c r="E36" s="19"/>
    </row>
    <row r="37" spans="2:5" ht="20.100000000000001" customHeight="1" x14ac:dyDescent="0.15">
      <c r="B37" s="23" t="s">
        <v>21</v>
      </c>
      <c r="C37" s="59">
        <f>SUM(D28:D36)</f>
        <v>1514550</v>
      </c>
      <c r="D37" s="60"/>
      <c r="E37" s="19"/>
    </row>
    <row r="38" spans="2:5" ht="9.9499999999999993" customHeight="1" x14ac:dyDescent="0.15">
      <c r="B38" s="31"/>
      <c r="C38" s="32"/>
      <c r="D38" s="33"/>
      <c r="E38" s="34"/>
    </row>
    <row r="39" spans="2:5" ht="20.100000000000001" customHeight="1" x14ac:dyDescent="0.15">
      <c r="B39" s="11" t="s">
        <v>56</v>
      </c>
      <c r="C39" s="30">
        <v>10000</v>
      </c>
      <c r="D39" s="30">
        <v>10000</v>
      </c>
      <c r="E39" s="19" t="s">
        <v>54</v>
      </c>
    </row>
    <row r="40" spans="2:5" ht="9.9499999999999993" customHeight="1" x14ac:dyDescent="0.15">
      <c r="B40" s="24"/>
      <c r="C40" s="25"/>
      <c r="D40" s="25"/>
      <c r="E40" s="35"/>
    </row>
    <row r="41" spans="2:5" ht="20.100000000000001" customHeight="1" x14ac:dyDescent="0.15">
      <c r="B41" s="36" t="s">
        <v>41</v>
      </c>
      <c r="C41" s="37"/>
      <c r="D41" s="38">
        <f>SUM(IF(C18&gt;C23,C18,C23),D28:D29,D32:D36,D39)</f>
        <v>3225991.23</v>
      </c>
      <c r="E41" s="39"/>
    </row>
    <row r="42" spans="2:5" ht="20.100000000000001" customHeight="1" x14ac:dyDescent="0.15">
      <c r="B42" s="40" t="s">
        <v>42</v>
      </c>
      <c r="C42" s="41"/>
      <c r="D42" s="42">
        <f>SUM(IF(C18&gt;C23,C18,C23),C37,D39)</f>
        <v>3625991.23</v>
      </c>
      <c r="E42" s="43"/>
    </row>
    <row r="43" spans="2:5" ht="23.25" customHeight="1" x14ac:dyDescent="0.15">
      <c r="B43" s="57" t="s">
        <v>57</v>
      </c>
      <c r="C43" s="57"/>
      <c r="D43" s="57"/>
      <c r="E43" s="57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3:E43"/>
    <mergeCell ref="B2:E2"/>
    <mergeCell ref="C37:D37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2020-10-13T03:21:57Z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