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17" i="4" l="1"/>
  <c r="C39" i="4" l="1"/>
  <c r="D33" i="4"/>
  <c r="D42" i="4"/>
  <c r="D31" i="4"/>
  <c r="C38" i="4"/>
  <c r="C7" i="4"/>
  <c r="D34" i="4" s="1"/>
  <c r="D43" i="4"/>
  <c r="D38" i="4" l="1"/>
  <c r="D32" i="4"/>
  <c r="D37" i="4"/>
  <c r="C10" i="4" l="1"/>
  <c r="C23" i="4"/>
  <c r="D39" i="4"/>
  <c r="D36" i="4" l="1"/>
  <c r="D28" i="4"/>
  <c r="D4" i="4"/>
  <c r="C15" i="4" l="1"/>
  <c r="C16" i="4"/>
  <c r="C44" i="4" l="1"/>
  <c r="C18" i="4"/>
  <c r="D47" i="4" l="1"/>
  <c r="G24" i="4"/>
  <c r="C24" i="4" s="1"/>
  <c r="C25" i="4"/>
  <c r="D48" i="4"/>
</calcChain>
</file>

<file path=xl/sharedStrings.xml><?xml version="1.0" encoding="utf-8"?>
<sst xmlns="http://schemas.openxmlformats.org/spreadsheetml/2006/main" count="82" uniqueCount="82">
  <si>
    <t>基本数据</t>
  </si>
  <si>
    <t>说明</t>
  </si>
  <si>
    <t>房屋性质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</si>
  <si>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</si>
  <si>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</si>
  <si>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</si>
  <si>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</si>
  <si>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</si>
  <si>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</si>
  <si>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</si>
  <si>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</si>
  <si>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请选择"公房"或"私房"。</t>
    <phoneticPr fontId="19" type="noConversion"/>
  </si>
  <si>
    <t>输入各证的评估单价。</t>
    <phoneticPr fontId="19" type="noConversion"/>
  </si>
  <si>
    <t>输入基地的评估均价。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</si>
  <si>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</si>
  <si>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</si>
  <si>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</si>
  <si>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</si>
  <si>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</si>
  <si>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</si>
  <si>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</si>
  <si>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>1、按期签约奖</t>
  </si>
  <si>
    <t>3、按期搬迁奖</t>
  </si>
  <si>
    <t xml:space="preserve">   家用设施移装补贴</t>
  </si>
  <si>
    <t>奖励项目</t>
    <phoneticPr fontId="19" type="noConversion"/>
  </si>
  <si>
    <t>奖励合计</t>
    <phoneticPr fontId="19" type="noConversion"/>
  </si>
  <si>
    <t>选择产权调换房屋 奖励合计</t>
    <phoneticPr fontId="19" type="noConversion"/>
  </si>
  <si>
    <t>选择全货币补贴   奖励合计</t>
    <phoneticPr fontId="19" type="noConversion"/>
  </si>
  <si>
    <t>6、其他补贴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</si>
  <si>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</si>
  <si>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</si>
  <si>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</si>
  <si>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</si>
  <si>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</si>
  <si>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各区不一样，可更改</t>
    <phoneticPr fontId="19" type="noConversion"/>
  </si>
  <si>
    <t>按每人22平米X折算单价X人头数</t>
    <phoneticPr fontId="19" type="noConversion"/>
  </si>
  <si>
    <t>判断托底是否划算</t>
    <phoneticPr fontId="19" type="noConversion"/>
  </si>
  <si>
    <t>居住困难人数，参照政策标准</t>
    <phoneticPr fontId="19" type="noConversion"/>
  </si>
  <si>
    <t>录入数据项（白底蓝字可修改）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</si>
  <si>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</si>
  <si>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</si>
  <si>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</si>
  <si>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</si>
  <si>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评估单价&lt;评估均价，按评估均价。</t>
    <phoneticPr fontId="19" type="noConversion"/>
  </si>
  <si>
    <t>每户2500元。</t>
    <phoneticPr fontId="19" type="noConversion"/>
  </si>
  <si>
    <t>居民签约率奖</t>
    <phoneticPr fontId="19" type="noConversion"/>
  </si>
  <si>
    <t>在签约期内大于90%，每户奖励38万元，30平米以上增加1000/平</t>
    <phoneticPr fontId="19" type="noConversion"/>
  </si>
  <si>
    <t>2、早签奖</t>
    <phoneticPr fontId="19" type="noConversion"/>
  </si>
  <si>
    <t>4、提前搬迁奖</t>
    <phoneticPr fontId="19" type="noConversion"/>
  </si>
  <si>
    <t>签约后30天内搬离，每证奖励10万元。</t>
    <phoneticPr fontId="19" type="noConversion"/>
  </si>
  <si>
    <t>5.居民搬迁率奖</t>
    <phoneticPr fontId="19" type="noConversion"/>
  </si>
  <si>
    <t>5、均衡实物安置补贴</t>
    <phoneticPr fontId="19" type="noConversion"/>
  </si>
  <si>
    <t xml:space="preserve">   搬家补助费</t>
    <phoneticPr fontId="19" type="noConversion"/>
  </si>
  <si>
    <t>搬家补助费=被征收房屋建筑面积×15元/平方米，不足800元，按800元计。</t>
    <phoneticPr fontId="19" type="noConversion"/>
  </si>
  <si>
    <t>建筑残值补贴</t>
    <phoneticPr fontId="19" type="noConversion"/>
  </si>
  <si>
    <t>签约后15天内搬离，每证再增加奖励18万元。</t>
    <phoneticPr fontId="19" type="noConversion"/>
  </si>
  <si>
    <t>静安光明小区动迁补偿计算表---朱律师 13917722985（动迁/补偿分配法律咨询）</t>
    <phoneticPr fontId="19" type="noConversion"/>
  </si>
  <si>
    <t>私房</t>
  </si>
  <si>
    <t>公房一般为使用面积，私房为一般建筑面积（不乘系数）</t>
    <phoneticPr fontId="19" type="noConversion"/>
  </si>
  <si>
    <t>用于计算残值补贴（折算面积X评估均价）</t>
    <phoneticPr fontId="19" type="noConversion"/>
  </si>
  <si>
    <t>折算后的残值补贴面积（㎡）</t>
    <phoneticPr fontId="19" type="noConversion"/>
  </si>
  <si>
    <t xml:space="preserve">   临时安置费补贴</t>
    <phoneticPr fontId="19" type="noConversion"/>
  </si>
  <si>
    <t>建筑面积&lt;乘换算系数&gt;（㎡）</t>
    <phoneticPr fontId="19" type="noConversion"/>
  </si>
  <si>
    <t>换算系数（旧里1.54，新工房下拉选择）</t>
    <phoneticPr fontId="19" type="noConversion"/>
  </si>
  <si>
    <t>每证最低5万元。证载1.2米以下/附计1.2-1.7米减半折算X评估均价；
仅有土地证丈量面积－认定面积－50平方米）×1000元/平方米；
有房产证搭建超50平米部分，1000元/平方米</t>
    <phoneticPr fontId="19" type="noConversion"/>
  </si>
  <si>
    <t>7、新工房搬迁补贴</t>
    <phoneticPr fontId="19" type="noConversion"/>
  </si>
  <si>
    <t>成套独用新工房按期签约搬迁</t>
    <phoneticPr fontId="19" type="noConversion"/>
  </si>
  <si>
    <t>8、新工房同门牌搬迁奖</t>
    <phoneticPr fontId="19" type="noConversion"/>
  </si>
  <si>
    <t>同门牌新工房按期搬迁100%</t>
    <phoneticPr fontId="19" type="noConversion"/>
  </si>
  <si>
    <t>90%—95%，增1%+5000元；95%—99%，增1%+1万元。100%再加2万
（本项按100%计算）</t>
    <phoneticPr fontId="19" type="noConversion"/>
  </si>
  <si>
    <t>签约期内签约，10万元/证；第三天开始，基数为5万元，每天少500</t>
    <phoneticPr fontId="19" type="noConversion"/>
  </si>
  <si>
    <t xml:space="preserve">   迁户奖</t>
    <phoneticPr fontId="19" type="noConversion"/>
  </si>
  <si>
    <t>一年内迁出全部户籍</t>
    <phoneticPr fontId="19" type="noConversion"/>
  </si>
  <si>
    <t>搬迁率95%—99%（不含95%），每增1%+1万元/证，100%再加10万元/证。</t>
    <phoneticPr fontId="19" type="noConversion"/>
  </si>
  <si>
    <t>每户建筑面积×1.5万元，不足40万元，按40万元计算。</t>
    <phoneticPr fontId="19" type="noConversion"/>
  </si>
  <si>
    <t>旧里60元，成套工房90元/平米每月，最低6000元+三个月</t>
    <phoneticPr fontId="19" type="noConversion"/>
  </si>
  <si>
    <t xml:space="preserve">   装潢补贴</t>
    <phoneticPr fontId="19" type="noConversion"/>
  </si>
  <si>
    <t>非成套，500元/平米；成套1000元/平米</t>
    <phoneticPr fontId="19" type="noConversion"/>
  </si>
  <si>
    <t>本工具根据补偿方案作成，因时间仓促，难免错漏，欢迎联系朱律师（13917722985）修改。</t>
    <phoneticPr fontId="19" type="noConversion"/>
  </si>
  <si>
    <t>套型评估均价=评估均价×补贴面积（不成套15平方），成套无</t>
    <phoneticPr fontId="19" type="noConversion"/>
  </si>
  <si>
    <t>建筑面积</t>
  </si>
  <si>
    <t>按房屋类型和房卡记载换算，房本记载建筑面积不换算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</si>
</sst>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  <font>
      <b/>
      <sz val="11"/>
      <color theme="3"/>
      <name val="仿宋"/>
      <family val="3"/>
      <charset val="134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26" borderId="10" xfId="0" applyFont="1" applyFill="1" applyBorder="1" applyAlignment="1" applyProtection="1">
      <alignment horizontal="left" vertical="center" indent="1"/>
      <protection locked="0"/>
    </xf>
    <xf numFmtId="0" fontId="22" fillId="28" borderId="10" xfId="0" applyFont="1" applyFill="1" applyBorder="1" applyAlignment="1" applyProtection="1">
      <alignment horizontal="left" vertical="center" wrapText="1"/>
      <protection hidden="1"/>
    </xf>
    <xf numFmtId="0" fontId="26" fillId="0" borderId="0" xfId="0" applyFont="1">
      <alignment vertical="center"/>
    </xf>
    <xf numFmtId="0" fontId="22" fillId="0" borderId="22" xfId="0" applyFont="1" applyBorder="1" applyAlignment="1">
      <alignment horizontal="center" vertical="center"/>
    </xf>
    <xf numFmtId="177" fontId="33" fillId="26" borderId="15" xfId="0" applyNumberFormat="1" applyFont="1" applyFill="1" applyBorder="1" applyAlignment="1" applyProtection="1">
      <alignment horizontal="center" vertical="center"/>
      <protection locked="0"/>
    </xf>
    <xf numFmtId="177" fontId="33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8" borderId="15" xfId="0" applyNumberFormat="1" applyFont="1" applyFill="1" applyBorder="1" applyAlignment="1" applyProtection="1">
      <alignment horizontal="center" vertical="center"/>
      <protection hidden="1"/>
    </xf>
    <xf numFmtId="5" fontId="23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theme="3"/>
        </patternFill>
      </fill>
    </dxf>
    <dxf>
      <fill>
        <patternFill>
          <bgColor theme="3"/>
        </patternFill>
      </fill>
    </dxf>
  </dxfs>
  <tableStyles count="0" defaultTableStyle="TableStyleMedium9" defaultPivotStyle="PivotStyleLight16"/>
  <colors>
    <mruColors>
      <color rgb="FF1B0B91"/>
      <color rgb="FFCCECFF"/>
      <color rgb="FFEBCC15"/>
      <color rgb="FFC8C8C8"/>
      <color rgb="FF99EC04"/>
      <color rgb="FFCCFFCC"/>
      <color rgb="FF9AF000"/>
      <color rgb="FF66CCFF"/>
      <color rgb="FF0000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https://www.lvshi01.com/lvsuolianx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showGridLines="0" tabSelected="1" zoomScale="110" zoomScaleNormal="110" zoomScaleSheetLayoutView="100" workbookViewId="0">
      <selection activeCell="G44" sqref="G44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5" ht="82.5" customHeight="1" x14ac:dyDescent="0.15">
      <c r="B1" s="73" t="s">
        <v>56</v>
      </c>
      <c r="C1" s="74"/>
      <c r="D1" s="74"/>
      <c r="E1" s="74"/>
    </row>
    <row r="2" spans="2:5" ht="19.5" customHeight="1" x14ac:dyDescent="0.15">
      <c r="B2" s="68" t="s">
        <v>42</v>
      </c>
      <c r="C2" s="68"/>
      <c r="D2" s="68"/>
      <c r="E2" s="68"/>
    </row>
    <row r="3" spans="2:5" ht="20.100000000000001" customHeight="1" x14ac:dyDescent="0.15">
      <c r="B3" s="49" t="s">
        <v>0</v>
      </c>
      <c r="C3" s="71" t="s">
        <v>38</v>
      </c>
      <c r="D3" s="72"/>
      <c r="E3" s="50" t="s">
        <v>1</v>
      </c>
    </row>
    <row r="4" spans="2:5" ht="20.100000000000001" customHeight="1" x14ac:dyDescent="0.15">
      <c r="B4" s="11" t="s">
        <v>2</v>
      </c>
      <c r="C4" s="5" t="s">
        <v>57</v>
      </c>
      <c r="D4" s="12">
        <f>IF(C4="公房",0.8,1)</f>
        <v>1</v>
      </c>
      <c r="E4" s="45" t="s">
        <v>11</v>
      </c>
    </row>
    <row r="5" spans="2:5" ht="20.100000000000001" customHeight="1" x14ac:dyDescent="0.15">
      <c r="B5" s="52" t="s">
        <v>80</v>
      </c>
      <c r="C5" s="79">
        <v>55</v>
      </c>
      <c r="D5" s="80"/>
      <c r="E5" s="45" t="s">
        <v>58</v>
      </c>
    </row>
    <row r="6" spans="2:5" ht="20.100000000000001" customHeight="1" x14ac:dyDescent="0.15">
      <c r="B6" s="11" t="s">
        <v>63</v>
      </c>
      <c r="C6" s="56">
        <v>1.54</v>
      </c>
      <c r="D6" s="57"/>
      <c r="E6" s="14" t="s">
        <v>29</v>
      </c>
    </row>
    <row r="7" spans="2:5" ht="20.100000000000001" customHeight="1" x14ac:dyDescent="0.15">
      <c r="B7" s="11" t="s">
        <v>62</v>
      </c>
      <c r="C7" s="87">
        <f>IF(OR(B5="建筑面积",C4="私房"),C5,C5*C6)</f>
        <v>55</v>
      </c>
      <c r="D7" s="88"/>
      <c r="E7" s="13" t="s">
        <v>81</v>
      </c>
    </row>
    <row r="8" spans="2:5" ht="20.100000000000001" customHeight="1" x14ac:dyDescent="0.15">
      <c r="B8" s="11" t="s">
        <v>60</v>
      </c>
      <c r="C8" s="79">
        <v>0</v>
      </c>
      <c r="D8" s="80"/>
      <c r="E8" s="13" t="s">
        <v>59</v>
      </c>
    </row>
    <row r="9" spans="2:5" ht="20.100000000000001" customHeight="1" x14ac:dyDescent="0.15">
      <c r="B9" s="11" t="s">
        <v>3</v>
      </c>
      <c r="C9" s="81">
        <v>80480</v>
      </c>
      <c r="D9" s="82"/>
      <c r="E9" s="13" t="s">
        <v>12</v>
      </c>
    </row>
    <row r="10" spans="2:5" ht="20.100000000000001" customHeight="1" x14ac:dyDescent="0.15">
      <c r="B10" s="11" t="s">
        <v>4</v>
      </c>
      <c r="C10" s="83">
        <f>MAX(C9,C11)</f>
        <v>80480</v>
      </c>
      <c r="D10" s="84"/>
      <c r="E10" s="46" t="s">
        <v>43</v>
      </c>
    </row>
    <row r="11" spans="2:5" ht="20.100000000000001" customHeight="1" x14ac:dyDescent="0.15">
      <c r="B11" s="11" t="s">
        <v>5</v>
      </c>
      <c r="C11" s="81">
        <v>80480</v>
      </c>
      <c r="D11" s="82"/>
      <c r="E11" s="15" t="s">
        <v>13</v>
      </c>
    </row>
    <row r="12" spans="2:5" ht="20.100000000000001" customHeight="1" x14ac:dyDescent="0.15">
      <c r="B12" s="11" t="s">
        <v>6</v>
      </c>
      <c r="C12" s="85">
        <v>1</v>
      </c>
      <c r="D12" s="86"/>
      <c r="E12" s="13" t="s">
        <v>14</v>
      </c>
    </row>
    <row r="13" spans="2:5" ht="9.9499999999999993" customHeight="1" x14ac:dyDescent="0.15">
      <c r="B13" s="7"/>
      <c r="C13" s="8"/>
      <c r="D13" s="16"/>
      <c r="E13" s="9"/>
    </row>
    <row r="14" spans="2:5" ht="20.100000000000001" customHeight="1" x14ac:dyDescent="0.15">
      <c r="B14" s="75" t="s">
        <v>7</v>
      </c>
      <c r="C14" s="76"/>
      <c r="D14" s="77"/>
      <c r="E14" s="17"/>
    </row>
    <row r="15" spans="2:5" ht="20.100000000000001" customHeight="1" x14ac:dyDescent="0.15">
      <c r="B15" s="18" t="s">
        <v>17</v>
      </c>
      <c r="C15" s="61">
        <f>C10*C7*D4</f>
        <v>4426400</v>
      </c>
      <c r="D15" s="61"/>
      <c r="E15" s="19" t="s">
        <v>15</v>
      </c>
    </row>
    <row r="16" spans="2:5" ht="20.100000000000001" customHeight="1" x14ac:dyDescent="0.15">
      <c r="B16" s="18" t="s">
        <v>18</v>
      </c>
      <c r="C16" s="61">
        <f>C11*30%*C7</f>
        <v>1327920</v>
      </c>
      <c r="D16" s="61"/>
      <c r="E16" s="19" t="s">
        <v>10</v>
      </c>
    </row>
    <row r="17" spans="2:7" ht="20.100000000000001" customHeight="1" x14ac:dyDescent="0.15">
      <c r="B17" s="18" t="s">
        <v>19</v>
      </c>
      <c r="C17" s="61">
        <f>IF(C4="公房",C11*15,0)</f>
        <v>0</v>
      </c>
      <c r="D17" s="61"/>
      <c r="E17" s="19" t="s">
        <v>79</v>
      </c>
    </row>
    <row r="18" spans="2:7" ht="20.100000000000001" customHeight="1" x14ac:dyDescent="0.15">
      <c r="B18" s="20" t="s">
        <v>20</v>
      </c>
      <c r="C18" s="78">
        <f>C17+C16+C15</f>
        <v>5754320</v>
      </c>
      <c r="D18" s="78"/>
      <c r="E18" s="19" t="s">
        <v>16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58" t="s">
        <v>39</v>
      </c>
      <c r="C20" s="59"/>
      <c r="D20" s="59"/>
      <c r="E20" s="60"/>
    </row>
    <row r="21" spans="2:7" ht="20.100000000000001" customHeight="1" x14ac:dyDescent="0.15">
      <c r="B21" s="47" t="s">
        <v>30</v>
      </c>
      <c r="C21" s="62">
        <v>2</v>
      </c>
      <c r="D21" s="63"/>
      <c r="E21" s="48" t="s">
        <v>37</v>
      </c>
    </row>
    <row r="22" spans="2:7" ht="20.100000000000001" customHeight="1" x14ac:dyDescent="0.15">
      <c r="B22" s="11" t="s">
        <v>32</v>
      </c>
      <c r="C22" s="64">
        <v>22000</v>
      </c>
      <c r="D22" s="65"/>
      <c r="E22" s="13" t="s">
        <v>34</v>
      </c>
    </row>
    <row r="23" spans="2:7" ht="20.100000000000001" customHeight="1" x14ac:dyDescent="0.15">
      <c r="B23" s="11" t="s">
        <v>31</v>
      </c>
      <c r="C23" s="61">
        <f>C21*C22*22</f>
        <v>968000</v>
      </c>
      <c r="D23" s="61"/>
      <c r="E23" s="13" t="s">
        <v>35</v>
      </c>
    </row>
    <row r="24" spans="2:7" ht="20.100000000000001" customHeight="1" x14ac:dyDescent="0.15">
      <c r="B24" s="23" t="s">
        <v>33</v>
      </c>
      <c r="C24" s="66" t="str">
        <f>"需要"&amp;G24&amp;"人才能托底"</f>
        <v>需要12人才能托底</v>
      </c>
      <c r="D24" s="67"/>
      <c r="E24" s="51" t="s">
        <v>36</v>
      </c>
      <c r="G24" s="54">
        <f>TRUNC(C18/(C22*22))+1</f>
        <v>12</v>
      </c>
    </row>
    <row r="25" spans="2:7" ht="20.100000000000001" customHeight="1" x14ac:dyDescent="0.15">
      <c r="B25" s="23" t="s">
        <v>40</v>
      </c>
      <c r="C25" s="61">
        <f>IF((C23-C18)&gt;0,(C23-C18),0)</f>
        <v>0</v>
      </c>
      <c r="D25" s="61"/>
      <c r="E25" s="51" t="s">
        <v>41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24</v>
      </c>
      <c r="C27" s="27" t="s">
        <v>8</v>
      </c>
      <c r="D27" s="10" t="s">
        <v>9</v>
      </c>
      <c r="E27" s="28"/>
    </row>
    <row r="28" spans="2:7" ht="20.100000000000001" customHeight="1" x14ac:dyDescent="0.15">
      <c r="B28" s="29" t="s">
        <v>21</v>
      </c>
      <c r="C28" s="6">
        <v>380000</v>
      </c>
      <c r="D28" s="30">
        <f>IF(C7&gt;30,(C7-30)*1000+C28,C28)</f>
        <v>405000</v>
      </c>
      <c r="E28" s="19" t="s">
        <v>46</v>
      </c>
    </row>
    <row r="29" spans="2:7" ht="27" customHeight="1" x14ac:dyDescent="0.15">
      <c r="B29" s="29" t="s">
        <v>45</v>
      </c>
      <c r="C29" s="6">
        <v>85000</v>
      </c>
      <c r="D29" s="30">
        <v>85000</v>
      </c>
      <c r="E29" s="53" t="s">
        <v>69</v>
      </c>
    </row>
    <row r="30" spans="2:7" ht="20.100000000000001" customHeight="1" x14ac:dyDescent="0.15">
      <c r="B30" s="29" t="s">
        <v>47</v>
      </c>
      <c r="C30" s="6">
        <v>100000</v>
      </c>
      <c r="D30" s="30">
        <v>100000</v>
      </c>
      <c r="E30" s="19" t="s">
        <v>70</v>
      </c>
    </row>
    <row r="31" spans="2:7" ht="20.100000000000001" customHeight="1" x14ac:dyDescent="0.15">
      <c r="B31" s="29" t="s">
        <v>22</v>
      </c>
      <c r="C31" s="6">
        <v>200000</v>
      </c>
      <c r="D31" s="30">
        <f>C31</f>
        <v>200000</v>
      </c>
      <c r="E31" s="19" t="s">
        <v>49</v>
      </c>
    </row>
    <row r="32" spans="2:7" ht="20.100000000000001" customHeight="1" x14ac:dyDescent="0.15">
      <c r="B32" s="29" t="s">
        <v>48</v>
      </c>
      <c r="C32" s="6">
        <v>180000</v>
      </c>
      <c r="D32" s="30">
        <f>C32</f>
        <v>180000</v>
      </c>
      <c r="E32" s="19" t="s">
        <v>55</v>
      </c>
    </row>
    <row r="33" spans="2:5" ht="20.100000000000001" customHeight="1" x14ac:dyDescent="0.15">
      <c r="B33" s="29" t="s">
        <v>50</v>
      </c>
      <c r="C33" s="6">
        <v>140000</v>
      </c>
      <c r="D33" s="30">
        <f>C33</f>
        <v>140000</v>
      </c>
      <c r="E33" s="19" t="s">
        <v>73</v>
      </c>
    </row>
    <row r="34" spans="2:5" ht="20.100000000000001" customHeight="1" x14ac:dyDescent="0.15">
      <c r="B34" s="29" t="s">
        <v>51</v>
      </c>
      <c r="C34" s="6">
        <v>15000</v>
      </c>
      <c r="D34" s="30">
        <f>IF(C34*C7&gt;400000,C34*C7,400000)</f>
        <v>825000</v>
      </c>
      <c r="E34" s="19" t="s">
        <v>74</v>
      </c>
    </row>
    <row r="35" spans="2:5" ht="20.100000000000001" customHeight="1" x14ac:dyDescent="0.15">
      <c r="B35" s="29" t="s">
        <v>28</v>
      </c>
      <c r="C35" s="6"/>
      <c r="D35" s="44"/>
      <c r="E35" s="19"/>
    </row>
    <row r="36" spans="2:5" ht="20.100000000000001" customHeight="1" x14ac:dyDescent="0.15">
      <c r="B36" s="29" t="s">
        <v>52</v>
      </c>
      <c r="C36" s="6">
        <v>15</v>
      </c>
      <c r="D36" s="30">
        <f>IF(C36*C7&gt;800,C36*C7,800)</f>
        <v>825</v>
      </c>
      <c r="E36" s="19" t="s">
        <v>53</v>
      </c>
    </row>
    <row r="37" spans="2:5" ht="20.100000000000001" customHeight="1" x14ac:dyDescent="0.15">
      <c r="B37" s="29" t="s">
        <v>23</v>
      </c>
      <c r="C37" s="6">
        <v>2500</v>
      </c>
      <c r="D37" s="30">
        <f>C37</f>
        <v>2500</v>
      </c>
      <c r="E37" s="19" t="s">
        <v>44</v>
      </c>
    </row>
    <row r="38" spans="2:5" ht="20.100000000000001" customHeight="1" x14ac:dyDescent="0.15">
      <c r="B38" s="29" t="s">
        <v>61</v>
      </c>
      <c r="C38" s="6">
        <f>IF((C4="公房"),60,90)</f>
        <v>90</v>
      </c>
      <c r="D38" s="30">
        <f>MAX(C38*C7,6000)*3</f>
        <v>18000</v>
      </c>
      <c r="E38" s="19" t="s">
        <v>75</v>
      </c>
    </row>
    <row r="39" spans="2:5" ht="20.100000000000001" customHeight="1" x14ac:dyDescent="0.15">
      <c r="B39" s="29" t="s">
        <v>76</v>
      </c>
      <c r="C39" s="6">
        <f>IF(C4="私房",1000,500)</f>
        <v>1000</v>
      </c>
      <c r="D39" s="30">
        <f>C39*C7</f>
        <v>55000</v>
      </c>
      <c r="E39" s="19" t="s">
        <v>77</v>
      </c>
    </row>
    <row r="40" spans="2:5" ht="20.100000000000001" customHeight="1" x14ac:dyDescent="0.15">
      <c r="B40" s="29" t="s">
        <v>65</v>
      </c>
      <c r="C40" s="6">
        <v>780000</v>
      </c>
      <c r="D40" s="30">
        <v>780000</v>
      </c>
      <c r="E40" s="19" t="s">
        <v>66</v>
      </c>
    </row>
    <row r="41" spans="2:5" ht="20.100000000000001" customHeight="1" x14ac:dyDescent="0.15">
      <c r="B41" s="29" t="s">
        <v>67</v>
      </c>
      <c r="C41" s="6">
        <v>150000</v>
      </c>
      <c r="D41" s="30">
        <v>150000</v>
      </c>
      <c r="E41" s="19" t="s">
        <v>68</v>
      </c>
    </row>
    <row r="42" spans="2:5" ht="20.100000000000001" customHeight="1" x14ac:dyDescent="0.15">
      <c r="B42" s="29" t="s">
        <v>71</v>
      </c>
      <c r="C42" s="6">
        <v>20000</v>
      </c>
      <c r="D42" s="30">
        <f>C42</f>
        <v>20000</v>
      </c>
      <c r="E42" s="19" t="s">
        <v>72</v>
      </c>
    </row>
    <row r="43" spans="2:5" ht="50.25" customHeight="1" x14ac:dyDescent="0.15">
      <c r="B43" s="29" t="s">
        <v>54</v>
      </c>
      <c r="C43" s="6">
        <v>50000</v>
      </c>
      <c r="D43" s="30">
        <f>C43+C11*C8</f>
        <v>50000</v>
      </c>
      <c r="E43" s="53" t="s">
        <v>64</v>
      </c>
    </row>
    <row r="44" spans="2:5" ht="20.100000000000001" customHeight="1" x14ac:dyDescent="0.15">
      <c r="B44" s="23" t="s">
        <v>25</v>
      </c>
      <c r="C44" s="69">
        <f>SUM(D28:D43)</f>
        <v>3011325</v>
      </c>
      <c r="D44" s="70"/>
      <c r="E44" s="19"/>
    </row>
    <row r="45" spans="2:5" ht="9.9499999999999993" customHeight="1" x14ac:dyDescent="0.15">
      <c r="B45" s="31"/>
      <c r="C45" s="32"/>
      <c r="D45" s="33"/>
      <c r="E45" s="34"/>
    </row>
    <row r="46" spans="2:5" ht="9.9499999999999993" customHeight="1" x14ac:dyDescent="0.15">
      <c r="B46" s="24"/>
      <c r="C46" s="25"/>
      <c r="D46" s="25"/>
      <c r="E46" s="35"/>
    </row>
    <row r="47" spans="2:5" ht="20.100000000000001" customHeight="1" x14ac:dyDescent="0.15">
      <c r="B47" s="36" t="s">
        <v>26</v>
      </c>
      <c r="C47" s="37"/>
      <c r="D47" s="38">
        <f>SUM(IF(C18&gt;C23,C18,C23),D28:D33,D36:D43)</f>
        <v>7940645</v>
      </c>
      <c r="E47" s="39"/>
    </row>
    <row r="48" spans="2:5" ht="20.100000000000001" customHeight="1" x14ac:dyDescent="0.15">
      <c r="B48" s="40" t="s">
        <v>27</v>
      </c>
      <c r="C48" s="41"/>
      <c r="D48" s="42">
        <f>SUM(IF(C18&gt;C23,C18,C23),C44)</f>
        <v>8765645</v>
      </c>
      <c r="E48" s="43"/>
    </row>
    <row r="49" spans="2:5" ht="30" customHeight="1" x14ac:dyDescent="0.15">
      <c r="B49" s="55" t="s">
        <v>78</v>
      </c>
      <c r="C49" s="55"/>
      <c r="D49" s="55"/>
      <c r="E49" s="55"/>
    </row>
  </sheetData>
  <sheetProtection password="9E68" sheet="1" objects="1" scenarios="1"/>
  <mergeCells count="24">
    <mergeCell ref="B2:E2"/>
    <mergeCell ref="C44:D44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B49:E49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B5">
    <cfRule type="expression" dxfId="1" priority="2">
      <formula>$C$4="私房"</formula>
    </cfRule>
  </conditionalFormatting>
  <conditionalFormatting sqref="C6:D6">
    <cfRule type="expression" dxfId="0" priority="1">
      <formula>$C$4="私房"</formula>
    </cfRule>
  </conditionalFormatting>
  <dataValidations count="4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"实际使用面积,建筑面积"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2020-10-20T03:51:33Z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