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39" i="4" l="1"/>
  <c r="D39" i="4" s="1"/>
  <c r="C44" i="4" s="1"/>
  <c r="C7" i="4" l="1"/>
  <c r="D41" i="4" s="1"/>
  <c r="D4" i="4" l="1"/>
  <c r="D40" i="4" l="1"/>
  <c r="D28" i="4" l="1"/>
  <c r="D33" i="4"/>
  <c r="D34" i="4"/>
  <c r="D32" i="4" l="1"/>
  <c r="D37" i="4"/>
  <c r="D29" i="4"/>
  <c r="D35" i="4"/>
  <c r="C10" i="4"/>
  <c r="C15" i="4" s="1"/>
  <c r="C43" i="4" l="1"/>
  <c r="D31" i="4"/>
  <c r="C17" i="4" l="1"/>
  <c r="C16" i="4" l="1"/>
  <c r="C18" i="4" l="1"/>
  <c r="G24" i="4" s="1"/>
  <c r="C24" i="4" s="1"/>
  <c r="C23" i="4" l="1"/>
  <c r="D47" i="4" l="1"/>
  <c r="C25" i="4"/>
  <c r="D48" i="4"/>
</calcChain>
</file>

<file path=xl/sharedStrings.xml><?xml version="1.0" encoding="utf-8"?>
<sst xmlns="http://schemas.openxmlformats.org/spreadsheetml/2006/main" count="85" uniqueCount="85">
  <si>
    <t>基本数据</t>
  </si>
  <si>
    <t>说明</t>
  </si>
  <si>
    <t>房屋性质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</si>
  <si>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</si>
  <si>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</si>
  <si>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</si>
  <si>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</si>
  <si>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</si>
  <si>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</si>
  <si>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</si>
  <si>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</si>
  <si>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</si>
  <si>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</si>
  <si>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</si>
  <si>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</si>
  <si>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</si>
  <si>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</si>
  <si>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</si>
  <si>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</si>
  <si>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</si>
  <si>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</si>
  <si>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</si>
  <si>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</si>
  <si>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</si>
  <si>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</si>
  <si>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5、均衡实物安置补贴</t>
    <phoneticPr fontId="19" type="noConversion"/>
  </si>
  <si>
    <t>6、其他补贴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</si>
  <si>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</si>
  <si>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</si>
  <si>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</si>
  <si>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</si>
  <si>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折算单价（杨浦）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</si>
  <si>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</si>
  <si>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</si>
  <si>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</si>
  <si>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</si>
  <si>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</si>
  <si>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</si>
  <si>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</si>
  <si>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</si>
  <si>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</si>
  <si>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</si>
  <si>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</si>
  <si>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每户建筑面积×1万元，不足40万元，按40万元计算。</t>
    <phoneticPr fontId="19" type="noConversion"/>
  </si>
  <si>
    <t>按被征收房屋建筑面积，奖励1千元/平方米。</t>
    <phoneticPr fontId="19" type="noConversion"/>
  </si>
  <si>
    <t>1、按期签约奖（购买产权调换房屋）</t>
    <phoneticPr fontId="19" type="noConversion"/>
  </si>
  <si>
    <t xml:space="preserve">   按期签约奖（面积补贴）</t>
    <phoneticPr fontId="19" type="noConversion"/>
  </si>
  <si>
    <t>4. 95%签约奖</t>
    <phoneticPr fontId="19" type="noConversion"/>
  </si>
  <si>
    <t>2、按期搬迁奖</t>
    <phoneticPr fontId="19" type="noConversion"/>
  </si>
  <si>
    <t>按期搬迁，10万元/证。</t>
    <phoneticPr fontId="19" type="noConversion"/>
  </si>
  <si>
    <t>3、集体签约奖</t>
    <phoneticPr fontId="19" type="noConversion"/>
  </si>
  <si>
    <t xml:space="preserve">   促签搬迁奖</t>
    <phoneticPr fontId="19" type="noConversion"/>
  </si>
  <si>
    <t>每户奖励20万元,超过40平，按5000元/平米。</t>
    <phoneticPr fontId="19" type="noConversion"/>
  </si>
  <si>
    <t>达到85%，每户奖励12万元。</t>
    <phoneticPr fontId="19" type="noConversion"/>
  </si>
  <si>
    <t>达90%，每户2万；每增加1%，增加6000元。</t>
    <phoneticPr fontId="19" type="noConversion"/>
  </si>
  <si>
    <t>输入各证的评估单价。</t>
    <phoneticPr fontId="19" type="noConversion"/>
  </si>
  <si>
    <t>注：本表按照签约率95%计算奖励费。因有的项目定价未确定，数值仅供参考，具体数据以征收协议为准。若有错漏，欢迎指正:)</t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</si>
  <si>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</si>
  <si>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</si>
  <si>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</si>
  <si>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奖励合计（货币安置）</t>
    <phoneticPr fontId="19" type="noConversion"/>
  </si>
  <si>
    <t>奖励合计（选房安置）</t>
    <phoneticPr fontId="19" type="noConversion"/>
  </si>
  <si>
    <t>各区不一样，可更改</t>
    <phoneticPr fontId="19" type="noConversion"/>
  </si>
  <si>
    <t>托底保障（人头费总数）</t>
    <phoneticPr fontId="19" type="noConversion"/>
  </si>
  <si>
    <t>三块砖外额外的居困补偿额</t>
    <phoneticPr fontId="19" type="noConversion"/>
  </si>
  <si>
    <t xml:space="preserve"> （无）不予认定建筑面积的材料费补贴</t>
    <phoneticPr fontId="19" type="noConversion"/>
  </si>
  <si>
    <t xml:space="preserve">  室内装饰装修补偿</t>
    <phoneticPr fontId="19" type="noConversion"/>
  </si>
  <si>
    <t xml:space="preserve">   促签奖</t>
    <phoneticPr fontId="19" type="noConversion"/>
  </si>
  <si>
    <t>促签促搬奖期内签约的，给予60,000元/证奖励。</t>
    <phoneticPr fontId="19" type="noConversion"/>
  </si>
  <si>
    <t xml:space="preserve">  临时安置费补贴</t>
    <phoneticPr fontId="19" type="noConversion"/>
  </si>
  <si>
    <t>保底3个月临时安置费补贴。</t>
    <phoneticPr fontId="19" type="noConversion"/>
  </si>
  <si>
    <t>户口在房屋内加上引进人员无房人数</t>
    <phoneticPr fontId="19" type="noConversion"/>
  </si>
  <si>
    <t>判断多少人才可托底</t>
    <phoneticPr fontId="19" type="noConversion"/>
  </si>
  <si>
    <t>核算达成托底人数</t>
    <phoneticPr fontId="19" type="noConversion"/>
  </si>
  <si>
    <t>采用评估单价/评估均价较高者。若本地块尚无评估价，参照周边街坊</t>
    <phoneticPr fontId="19" type="noConversion"/>
  </si>
  <si>
    <t>输入基地的评估均价（若本地块尚无评估价，参考周边街坊）。</t>
    <phoneticPr fontId="19" type="noConversion"/>
  </si>
  <si>
    <t xml:space="preserve">  户口迁移奖</t>
    <phoneticPr fontId="19" type="noConversion"/>
  </si>
  <si>
    <t>一年内迁户口，每户1万元。</t>
    <phoneticPr fontId="19" type="noConversion"/>
  </si>
  <si>
    <t>评估价格=评估价×建筑面积（公房X0.8）</t>
    <phoneticPr fontId="19" type="noConversion"/>
  </si>
  <si>
    <t>500元/平米。</t>
    <phoneticPr fontId="19" type="noConversion"/>
  </si>
  <si>
    <t>购买产权调换房屋，每户奖励10000/平米，最低40万元。</t>
    <phoneticPr fontId="19" type="noConversion"/>
  </si>
  <si>
    <t>凭证有记载但未计入租赁面积，实际用于居住</t>
    <phoneticPr fontId="19" type="noConversion"/>
  </si>
  <si>
    <t>不予认定面积（㎡）</t>
    <phoneticPr fontId="19" type="noConversion"/>
  </si>
  <si>
    <t>评估单价X残值面积，凭证未记载或未用于居住，按600元/平米</t>
    <phoneticPr fontId="19" type="noConversion"/>
  </si>
  <si>
    <t>虹口区135街坊征收补偿计算表（意见稿）--朱律师 13917722985
（动迁/补偿分配咨询）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</si>
</sst>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7" formatCode="&quot;¥&quot;#,##0.00;&quot;¥&quot;\-#,##0.00"/>
    <numFmt numFmtId="176" formatCode="#,##0.0_ "/>
    <numFmt numFmtId="177" formatCode="#,##0.00_ "/>
    <numFmt numFmtId="178" formatCode="#,##0_ "/>
    <numFmt numFmtId="179" formatCode="&quot;¥&quot;#,##0_);\(&quot;¥&quot;#,##0\)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7" fontId="22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179" fontId="23" fillId="28" borderId="15" xfId="0" applyNumberFormat="1" applyFont="1" applyFill="1" applyBorder="1" applyAlignment="1" applyProtection="1">
      <alignment horizontal="center" vertical="center"/>
      <protection hidden="1"/>
    </xf>
    <xf numFmtId="179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2" fillId="0" borderId="20" xfId="0" applyFont="1" applyBorder="1" applyAlignment="1">
      <alignment horizontal="center" vertical="center"/>
    </xf>
    <xf numFmtId="0" fontId="32" fillId="29" borderId="19" xfId="42" applyFont="1" applyFill="1" applyBorder="1" applyAlignment="1" applyProtection="1">
      <alignment horizontal="center" vertical="center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7" fontId="24" fillId="28" borderId="10" xfId="0" applyNumberFormat="1" applyFont="1" applyFill="1" applyBorder="1" applyAlignment="1" applyProtection="1">
      <alignment horizontal="center" vertical="center"/>
      <protection hidden="1"/>
    </xf>
    <xf numFmtId="0" fontId="20" fillId="27" borderId="16" xfId="0" applyFont="1" applyFill="1" applyBorder="1" applyAlignment="1" applyProtection="1">
      <alignment horizontal="center" vertical="center"/>
      <protection hidden="1"/>
    </xf>
    <xf numFmtId="0" fontId="20" fillId="27" borderId="17" xfId="0" applyFont="1" applyFill="1" applyBorder="1" applyAlignment="1" applyProtection="1">
      <alignment horizontal="center" vertical="center"/>
      <protection hidden="1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showGridLines="0" tabSelected="1" zoomScale="110" zoomScaleNormal="110" zoomScaleSheetLayoutView="100" workbookViewId="0">
      <selection activeCell="F5" sqref="F5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51" t="s">
        <v>84</v>
      </c>
      <c r="C1" s="52"/>
      <c r="D1" s="52"/>
      <c r="E1" s="52"/>
    </row>
    <row r="2" spans="2:7" ht="19.5" customHeight="1" x14ac:dyDescent="0.15">
      <c r="B2" s="72" t="s">
        <v>35</v>
      </c>
      <c r="C2" s="72"/>
      <c r="D2" s="72"/>
      <c r="E2" s="72"/>
    </row>
    <row r="3" spans="2:7" ht="20.100000000000001" customHeight="1" x14ac:dyDescent="0.15">
      <c r="B3" s="45" t="s">
        <v>0</v>
      </c>
      <c r="C3" s="73" t="s">
        <v>38</v>
      </c>
      <c r="D3" s="74"/>
      <c r="E3" s="46" t="s">
        <v>1</v>
      </c>
    </row>
    <row r="4" spans="2:7" ht="20.100000000000001" customHeight="1" x14ac:dyDescent="0.15">
      <c r="B4" s="11" t="s">
        <v>2</v>
      </c>
      <c r="C4" s="5" t="s">
        <v>27</v>
      </c>
      <c r="D4" s="12">
        <f>IF(C4="公房",0.8,1)</f>
        <v>0.8</v>
      </c>
      <c r="E4" s="41" t="s">
        <v>42</v>
      </c>
    </row>
    <row r="5" spans="2:7" ht="20.100000000000001" customHeight="1" x14ac:dyDescent="0.15">
      <c r="B5" s="50" t="s">
        <v>40</v>
      </c>
      <c r="C5" s="57">
        <v>20</v>
      </c>
      <c r="D5" s="58"/>
      <c r="E5" s="48" t="s">
        <v>36</v>
      </c>
      <c r="G5" s="49" t="s">
        <v>57</v>
      </c>
    </row>
    <row r="6" spans="2:7" ht="20.100000000000001" customHeight="1" x14ac:dyDescent="0.15">
      <c r="B6" s="11" t="s">
        <v>37</v>
      </c>
      <c r="C6" s="67">
        <v>1.54</v>
      </c>
      <c r="D6" s="68"/>
      <c r="E6" s="14" t="s">
        <v>29</v>
      </c>
      <c r="G6" s="49" t="s">
        <v>41</v>
      </c>
    </row>
    <row r="7" spans="2:7" ht="20.100000000000001" customHeight="1" x14ac:dyDescent="0.15">
      <c r="B7" s="11" t="s">
        <v>28</v>
      </c>
      <c r="C7" s="65">
        <f>IF(OR(B5="建筑面积（这里下拉选择！）",C4=G5),C5,ROUNDUP(C5*1.54,2))</f>
        <v>30.8</v>
      </c>
      <c r="D7" s="66"/>
      <c r="E7" s="13" t="s">
        <v>39</v>
      </c>
    </row>
    <row r="8" spans="2:7" ht="20.100000000000001" customHeight="1" x14ac:dyDescent="0.15">
      <c r="B8" s="11" t="s">
        <v>82</v>
      </c>
      <c r="C8" s="57">
        <v>0</v>
      </c>
      <c r="D8" s="58"/>
      <c r="E8" s="13" t="s">
        <v>81</v>
      </c>
    </row>
    <row r="9" spans="2:7" ht="20.100000000000001" customHeight="1" x14ac:dyDescent="0.15">
      <c r="B9" s="11" t="s">
        <v>3</v>
      </c>
      <c r="C9" s="59">
        <v>51029</v>
      </c>
      <c r="D9" s="60"/>
      <c r="E9" s="13" t="s">
        <v>55</v>
      </c>
    </row>
    <row r="10" spans="2:7" ht="20.100000000000001" customHeight="1" x14ac:dyDescent="0.15">
      <c r="B10" s="11" t="s">
        <v>4</v>
      </c>
      <c r="C10" s="61">
        <f>MAX(C9,C11)</f>
        <v>51029</v>
      </c>
      <c r="D10" s="62"/>
      <c r="E10" s="42" t="s">
        <v>74</v>
      </c>
    </row>
    <row r="11" spans="2:7" ht="20.100000000000001" customHeight="1" x14ac:dyDescent="0.15">
      <c r="B11" s="11" t="s">
        <v>5</v>
      </c>
      <c r="C11" s="59">
        <v>51029</v>
      </c>
      <c r="D11" s="60"/>
      <c r="E11" s="15" t="s">
        <v>75</v>
      </c>
    </row>
    <row r="12" spans="2:7" ht="20.100000000000001" customHeight="1" x14ac:dyDescent="0.15">
      <c r="B12" s="11" t="s">
        <v>6</v>
      </c>
      <c r="C12" s="63">
        <v>0.95</v>
      </c>
      <c r="D12" s="64"/>
      <c r="E12" s="13" t="s">
        <v>11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53" t="s">
        <v>7</v>
      </c>
      <c r="C14" s="54"/>
      <c r="D14" s="55"/>
      <c r="E14" s="17"/>
    </row>
    <row r="15" spans="2:7" ht="20.100000000000001" customHeight="1" x14ac:dyDescent="0.15">
      <c r="B15" s="18" t="s">
        <v>14</v>
      </c>
      <c r="C15" s="56">
        <f>ROUND(C10*C7*D4,2)</f>
        <v>1257354.56</v>
      </c>
      <c r="D15" s="56"/>
      <c r="E15" s="19" t="s">
        <v>78</v>
      </c>
    </row>
    <row r="16" spans="2:7" ht="20.100000000000001" customHeight="1" x14ac:dyDescent="0.15">
      <c r="B16" s="18" t="s">
        <v>15</v>
      </c>
      <c r="C16" s="56">
        <f>C11*30%*C7</f>
        <v>471507.95999999996</v>
      </c>
      <c r="D16" s="56"/>
      <c r="E16" s="19" t="s">
        <v>10</v>
      </c>
    </row>
    <row r="17" spans="2:7" ht="20.100000000000001" customHeight="1" x14ac:dyDescent="0.15">
      <c r="B17" s="18" t="s">
        <v>16</v>
      </c>
      <c r="C17" s="56">
        <f>C11*15</f>
        <v>765435</v>
      </c>
      <c r="D17" s="56"/>
      <c r="E17" s="19" t="s">
        <v>12</v>
      </c>
    </row>
    <row r="18" spans="2:7" ht="20.100000000000001" customHeight="1" x14ac:dyDescent="0.15">
      <c r="B18" s="20" t="s">
        <v>17</v>
      </c>
      <c r="C18" s="75">
        <f>C17+C16+C15</f>
        <v>2494297.52</v>
      </c>
      <c r="D18" s="75"/>
      <c r="E18" s="19" t="s">
        <v>13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76" t="s">
        <v>33</v>
      </c>
      <c r="C20" s="77"/>
      <c r="D20" s="77"/>
      <c r="E20" s="78"/>
    </row>
    <row r="21" spans="2:7" ht="20.100000000000001" customHeight="1" x14ac:dyDescent="0.15">
      <c r="B21" s="43" t="s">
        <v>30</v>
      </c>
      <c r="C21" s="80">
        <v>2</v>
      </c>
      <c r="D21" s="81"/>
      <c r="E21" s="44" t="s">
        <v>71</v>
      </c>
    </row>
    <row r="22" spans="2:7" ht="20.100000000000001" customHeight="1" x14ac:dyDescent="0.15">
      <c r="B22" s="11" t="s">
        <v>31</v>
      </c>
      <c r="C22" s="80">
        <v>21500</v>
      </c>
      <c r="D22" s="81"/>
      <c r="E22" s="13" t="s">
        <v>62</v>
      </c>
    </row>
    <row r="23" spans="2:7" ht="20.100000000000001" customHeight="1" x14ac:dyDescent="0.15">
      <c r="B23" s="11" t="s">
        <v>63</v>
      </c>
      <c r="C23" s="79">
        <f>C21*C22*22</f>
        <v>946000</v>
      </c>
      <c r="D23" s="79"/>
      <c r="E23" s="13" t="s">
        <v>32</v>
      </c>
    </row>
    <row r="24" spans="2:7" ht="20.100000000000001" customHeight="1" x14ac:dyDescent="0.15">
      <c r="B24" s="23" t="s">
        <v>73</v>
      </c>
      <c r="C24" s="82" t="str">
        <f>"至少"&amp;G24&amp;"人才可托底"</f>
        <v>至少6人才可托底</v>
      </c>
      <c r="D24" s="83"/>
      <c r="E24" s="47" t="s">
        <v>72</v>
      </c>
      <c r="G24" s="49">
        <f>TRUNC(C18/(C22*22))+1</f>
        <v>6</v>
      </c>
    </row>
    <row r="25" spans="2:7" ht="20.100000000000001" customHeight="1" x14ac:dyDescent="0.15">
      <c r="B25" s="23" t="s">
        <v>34</v>
      </c>
      <c r="C25" s="79">
        <f>IF((C23-C18)&gt;0,(C23-C18),0)</f>
        <v>0</v>
      </c>
      <c r="D25" s="79"/>
      <c r="E25" s="47" t="s">
        <v>64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8</v>
      </c>
      <c r="D27" s="10" t="s">
        <v>9</v>
      </c>
      <c r="E27" s="28"/>
    </row>
    <row r="28" spans="2:7" ht="20.100000000000001" customHeight="1" x14ac:dyDescent="0.15">
      <c r="B28" s="29" t="s">
        <v>45</v>
      </c>
      <c r="C28" s="6">
        <v>400000</v>
      </c>
      <c r="D28" s="30">
        <f>MAX(C28,C7*13000)</f>
        <v>400400</v>
      </c>
      <c r="E28" s="19" t="s">
        <v>80</v>
      </c>
    </row>
    <row r="29" spans="2:7" ht="20.100000000000001" customHeight="1" x14ac:dyDescent="0.15">
      <c r="B29" s="29" t="s">
        <v>46</v>
      </c>
      <c r="C29" s="6">
        <v>1000</v>
      </c>
      <c r="D29" s="30">
        <f>C29*C7</f>
        <v>30800</v>
      </c>
      <c r="E29" s="19" t="s">
        <v>44</v>
      </c>
    </row>
    <row r="30" spans="2:7" ht="20.100000000000001" customHeight="1" x14ac:dyDescent="0.15">
      <c r="B30" s="29" t="s">
        <v>67</v>
      </c>
      <c r="C30" s="6">
        <v>60000</v>
      </c>
      <c r="D30" s="30">
        <v>60000</v>
      </c>
      <c r="E30" s="19" t="s">
        <v>68</v>
      </c>
    </row>
    <row r="31" spans="2:7" ht="20.100000000000001" customHeight="1" x14ac:dyDescent="0.15">
      <c r="B31" s="29" t="s">
        <v>48</v>
      </c>
      <c r="C31" s="6">
        <v>100000</v>
      </c>
      <c r="D31" s="30">
        <f>C31</f>
        <v>100000</v>
      </c>
      <c r="E31" s="19" t="s">
        <v>49</v>
      </c>
    </row>
    <row r="32" spans="2:7" ht="20.100000000000001" customHeight="1" x14ac:dyDescent="0.15">
      <c r="B32" s="29" t="s">
        <v>51</v>
      </c>
      <c r="C32" s="6">
        <v>200000</v>
      </c>
      <c r="D32" s="30">
        <f>MAX(C32,C7*5000)</f>
        <v>200000</v>
      </c>
      <c r="E32" s="19" t="s">
        <v>52</v>
      </c>
    </row>
    <row r="33" spans="2:5" ht="20.100000000000001" customHeight="1" x14ac:dyDescent="0.15">
      <c r="B33" s="29" t="s">
        <v>50</v>
      </c>
      <c r="C33" s="6">
        <v>120000</v>
      </c>
      <c r="D33" s="30">
        <f>C33</f>
        <v>120000</v>
      </c>
      <c r="E33" s="19" t="s">
        <v>53</v>
      </c>
    </row>
    <row r="34" spans="2:5" ht="20.100000000000001" customHeight="1" x14ac:dyDescent="0.15">
      <c r="B34" s="29" t="s">
        <v>47</v>
      </c>
      <c r="C34" s="6">
        <v>50000</v>
      </c>
      <c r="D34" s="30">
        <f>C34</f>
        <v>50000</v>
      </c>
      <c r="E34" s="19" t="s">
        <v>54</v>
      </c>
    </row>
    <row r="35" spans="2:5" ht="20.100000000000001" customHeight="1" x14ac:dyDescent="0.15">
      <c r="B35" s="29" t="s">
        <v>25</v>
      </c>
      <c r="C35" s="6">
        <v>10000</v>
      </c>
      <c r="D35" s="30">
        <f>IF(C35*C7&gt;400000,C35*C7,400000)</f>
        <v>400000</v>
      </c>
      <c r="E35" s="19" t="s">
        <v>43</v>
      </c>
    </row>
    <row r="36" spans="2:5" ht="20.100000000000001" customHeight="1" x14ac:dyDescent="0.15">
      <c r="B36" s="29" t="s">
        <v>26</v>
      </c>
      <c r="C36" s="6"/>
      <c r="D36" s="40"/>
      <c r="E36" s="19"/>
    </row>
    <row r="37" spans="2:5" ht="20.100000000000001" customHeight="1" x14ac:dyDescent="0.15">
      <c r="B37" s="29" t="s">
        <v>18</v>
      </c>
      <c r="C37" s="6">
        <v>15</v>
      </c>
      <c r="D37" s="30">
        <f>IF(C37*C7&gt;700,C37*C7,700)</f>
        <v>700</v>
      </c>
      <c r="E37" s="19" t="s">
        <v>19</v>
      </c>
    </row>
    <row r="38" spans="2:5" ht="20.100000000000001" customHeight="1" x14ac:dyDescent="0.15">
      <c r="B38" s="29" t="s">
        <v>20</v>
      </c>
      <c r="C38" s="6">
        <v>2000</v>
      </c>
      <c r="D38" s="30">
        <v>2000</v>
      </c>
      <c r="E38" s="19" t="s">
        <v>21</v>
      </c>
    </row>
    <row r="39" spans="2:5" ht="15.75" customHeight="1" x14ac:dyDescent="0.15">
      <c r="B39" s="29" t="s">
        <v>65</v>
      </c>
      <c r="C39" s="6">
        <f>C9</f>
        <v>51029</v>
      </c>
      <c r="D39" s="30">
        <f>C39*C8</f>
        <v>0</v>
      </c>
      <c r="E39" s="19" t="s">
        <v>83</v>
      </c>
    </row>
    <row r="40" spans="2:5" ht="15.75" customHeight="1" x14ac:dyDescent="0.15">
      <c r="B40" s="29" t="s">
        <v>69</v>
      </c>
      <c r="C40" s="6">
        <v>4000</v>
      </c>
      <c r="D40" s="30">
        <f>C40*3</f>
        <v>12000</v>
      </c>
      <c r="E40" s="19" t="s">
        <v>70</v>
      </c>
    </row>
    <row r="41" spans="2:5" ht="15.75" customHeight="1" x14ac:dyDescent="0.15">
      <c r="B41" s="29" t="s">
        <v>66</v>
      </c>
      <c r="C41" s="6">
        <v>500</v>
      </c>
      <c r="D41" s="30">
        <f>C41*C7</f>
        <v>15400</v>
      </c>
      <c r="E41" s="19" t="s">
        <v>79</v>
      </c>
    </row>
    <row r="42" spans="2:5" ht="18.75" customHeight="1" x14ac:dyDescent="0.15">
      <c r="B42" s="29" t="s">
        <v>76</v>
      </c>
      <c r="C42" s="6">
        <v>10000</v>
      </c>
      <c r="D42" s="30">
        <v>10000</v>
      </c>
      <c r="E42" s="19" t="s">
        <v>77</v>
      </c>
    </row>
    <row r="43" spans="2:5" ht="20.100000000000001" customHeight="1" x14ac:dyDescent="0.15">
      <c r="B43" s="23" t="s">
        <v>60</v>
      </c>
      <c r="C43" s="69">
        <f>SUM(D28:D42)-D28</f>
        <v>1000900</v>
      </c>
      <c r="D43" s="70"/>
      <c r="E43" s="19"/>
    </row>
    <row r="44" spans="2:5" ht="18.75" customHeight="1" x14ac:dyDescent="0.15">
      <c r="B44" s="23" t="s">
        <v>61</v>
      </c>
      <c r="C44" s="69">
        <f>SUM(D28:D42)-D35</f>
        <v>1001300</v>
      </c>
      <c r="D44" s="70"/>
      <c r="E44" s="19"/>
    </row>
    <row r="45" spans="2:5" ht="20.100000000000001" hidden="1" customHeight="1" x14ac:dyDescent="0.15">
      <c r="B45" s="11" t="s">
        <v>23</v>
      </c>
      <c r="C45" s="30">
        <v>0</v>
      </c>
      <c r="D45" s="30">
        <v>0</v>
      </c>
      <c r="E45" s="19" t="s">
        <v>24</v>
      </c>
    </row>
    <row r="46" spans="2:5" ht="9.9499999999999993" customHeight="1" x14ac:dyDescent="0.15">
      <c r="B46" s="24"/>
      <c r="C46" s="25"/>
      <c r="D46" s="25"/>
      <c r="E46" s="31"/>
    </row>
    <row r="47" spans="2:5" ht="20.100000000000001" customHeight="1" x14ac:dyDescent="0.15">
      <c r="B47" s="32" t="s">
        <v>58</v>
      </c>
      <c r="C47" s="33"/>
      <c r="D47" s="34">
        <f>SUM(IF(C18&gt;C23,C18,C23),C44)</f>
        <v>3495597.52</v>
      </c>
      <c r="E47" s="35"/>
    </row>
    <row r="48" spans="2:5" ht="20.100000000000001" customHeight="1" x14ac:dyDescent="0.15">
      <c r="B48" s="36" t="s">
        <v>59</v>
      </c>
      <c r="C48" s="37"/>
      <c r="D48" s="38">
        <f>SUM(IF(C18&gt;C23,C18,C23),C43)</f>
        <v>3495197.52</v>
      </c>
      <c r="E48" s="39"/>
    </row>
    <row r="49" spans="2:5" ht="23.25" customHeight="1" x14ac:dyDescent="0.15">
      <c r="B49" s="71" t="s">
        <v>56</v>
      </c>
      <c r="C49" s="71"/>
      <c r="D49" s="71"/>
      <c r="E49" s="71"/>
    </row>
  </sheetData>
  <sheetProtection password="9E68" sheet="1" objects="1" scenarios="1"/>
  <mergeCells count="25">
    <mergeCell ref="C44:D44"/>
    <mergeCell ref="B49:E49"/>
    <mergeCell ref="B2:E2"/>
    <mergeCell ref="C43:D43"/>
    <mergeCell ref="C3:D3"/>
    <mergeCell ref="C18:D18"/>
    <mergeCell ref="B20:E20"/>
    <mergeCell ref="C25:D25"/>
    <mergeCell ref="C21:D21"/>
    <mergeCell ref="C22:D22"/>
    <mergeCell ref="C23:D23"/>
    <mergeCell ref="C24:D24"/>
    <mergeCell ref="B1:E1"/>
    <mergeCell ref="B14:D14"/>
    <mergeCell ref="C15:D15"/>
    <mergeCell ref="C16:D16"/>
    <mergeCell ref="C17:D17"/>
    <mergeCell ref="C5:D5"/>
    <mergeCell ref="C9:D9"/>
    <mergeCell ref="C10:D10"/>
    <mergeCell ref="C11:D11"/>
    <mergeCell ref="C12:D12"/>
    <mergeCell ref="C7:D7"/>
    <mergeCell ref="C8:D8"/>
    <mergeCell ref="C6:D6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$C$4=$G$5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2021-03-11T14:00:12Z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