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C7" i="4" l="1"/>
  <c r="D30" i="4" l="1"/>
  <c r="D28" i="4" l="1"/>
  <c r="C10" i="4"/>
  <c r="C23" i="4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<sst xmlns="http://schemas.openxmlformats.org/spreadsheetml/2006/main" count="78" uniqueCount="78">
  <si>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</si>
  <si>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</si>
  <si>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</si>
  <si>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</si>
  <si>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</si>
  <si>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</si>
  <si>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</si>
  <si>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</si>
  <si>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</si>
  <si>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</si>
  <si>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</si>
  <si>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</si>
  <si>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</si>
  <si>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</si>
  <si>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</si>
  <si>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</si>
  <si>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</si>
  <si>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</si>
  <si>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</si>
  <si>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</si>
  <si>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</si>
  <si>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</si>
  <si>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</si>
  <si>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</si>
  <si>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</si>
  <si>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</si>
  <si>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</si>
  <si>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</si>
  <si>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</si>
  <si>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</si>
  <si>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</si>
  <si>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</si>
  <si>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</si>
  <si>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</si>
  <si>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</si>
  <si>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</si>
  <si>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</si>
  <si>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</si>
  <si>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</si>
  <si>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</si>
  <si>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</si>
  <si>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</si>
  <si>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</si>
  <si>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</si>
  <si>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</si>
  <si>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</si>
  <si>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</si>
  <si>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</si>
  <si>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</si>
  <si>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</si>
  <si>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</si>
  <si>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</si>
  <si>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</si>
  <si>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</si>
  <si>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</si>
  <si>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</si>
  <si>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</si>
  <si>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</si>
  <si>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</si>
  <si>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</si>
  <si>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</si>
  <si>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</si>
  <si>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</si>
  <si>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</si>
  <si>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</si>
  <si>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</si>
  <si>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</si>
  <si>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</si>
  <si>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</si>
  <si>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</si>
  <si>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</si>
  <si>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</si>
  <si>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</si>
  <si>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</si>
  <si>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输入基地的评估均价（若本地块均价未出，则参考临近地块均价）。</t>
    <phoneticPr fontId="19" type="noConversion"/>
  </si>
  <si>
    <t>评估单价&lt;评估均价，按评估均价。本地块尚无评估价，参照邻近地块</t>
    <phoneticPr fontId="19" type="noConversion"/>
  </si>
  <si>
    <t>杨浦41-42-44-45-47街坊补偿计算表（正式稿）--朱律师 13917722985
（动迁/补偿分配咨询）</t>
    <phoneticPr fontId="19" type="noConversion"/>
  </si>
  <si>
    <t>签约率达到85%，30日内搬迁享受每平8000元，最低20万元补贴。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</si>
</sst>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F40" sqref="F40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5" t="s">
        <v>76</v>
      </c>
      <c r="C1" s="76"/>
      <c r="D1" s="76"/>
      <c r="E1" s="76"/>
    </row>
    <row r="2" spans="2:7" ht="19.5" customHeight="1" x14ac:dyDescent="0.15">
      <c r="B2" s="70" t="s">
        <v>59</v>
      </c>
      <c r="C2" s="70"/>
      <c r="D2" s="70"/>
      <c r="E2" s="70"/>
    </row>
    <row r="3" spans="2:7" ht="20.100000000000001" customHeight="1" x14ac:dyDescent="0.15">
      <c r="B3" s="49" t="s">
        <v>0</v>
      </c>
      <c r="C3" s="73" t="s">
        <v>62</v>
      </c>
      <c r="D3" s="74"/>
      <c r="E3" s="50" t="s">
        <v>1</v>
      </c>
    </row>
    <row r="4" spans="2:7" ht="20.100000000000001" customHeight="1" x14ac:dyDescent="0.15">
      <c r="B4" s="11" t="s">
        <v>2</v>
      </c>
      <c r="C4" s="5" t="s">
        <v>44</v>
      </c>
      <c r="D4" s="12">
        <f>IF(C4="公房",0.8,1)</f>
        <v>0.8</v>
      </c>
      <c r="E4" s="45" t="s">
        <v>66</v>
      </c>
    </row>
    <row r="5" spans="2:7" ht="20.100000000000001" customHeight="1" x14ac:dyDescent="0.15">
      <c r="B5" s="54" t="s">
        <v>64</v>
      </c>
      <c r="C5" s="81">
        <v>20</v>
      </c>
      <c r="D5" s="82"/>
      <c r="E5" s="52" t="s">
        <v>60</v>
      </c>
      <c r="G5" s="53" t="s">
        <v>70</v>
      </c>
    </row>
    <row r="6" spans="2:7" ht="20.100000000000001" customHeight="1" x14ac:dyDescent="0.15">
      <c r="B6" s="11" t="s">
        <v>61</v>
      </c>
      <c r="C6" s="57">
        <v>1.54</v>
      </c>
      <c r="D6" s="58"/>
      <c r="E6" s="14" t="s">
        <v>46</v>
      </c>
      <c r="G6" s="53" t="s">
        <v>65</v>
      </c>
    </row>
    <row r="7" spans="2:7" ht="20.100000000000001" customHeight="1" x14ac:dyDescent="0.15">
      <c r="B7" s="11" t="s">
        <v>45</v>
      </c>
      <c r="C7" s="55">
        <f>IF(OR(B5="建筑面积（这里下拉选择！）",C4="私房"),C5,C5*1.54)</f>
        <v>30.8</v>
      </c>
      <c r="D7" s="56"/>
      <c r="E7" s="13" t="s">
        <v>63</v>
      </c>
    </row>
    <row r="8" spans="2:7" ht="20.100000000000001" customHeight="1" x14ac:dyDescent="0.15">
      <c r="B8" s="11" t="s">
        <v>3</v>
      </c>
      <c r="C8" s="55">
        <v>0</v>
      </c>
      <c r="D8" s="56"/>
      <c r="E8" s="13"/>
    </row>
    <row r="9" spans="2:7" ht="20.100000000000001" customHeight="1" x14ac:dyDescent="0.15">
      <c r="B9" s="11" t="s">
        <v>4</v>
      </c>
      <c r="C9" s="83">
        <v>48388</v>
      </c>
      <c r="D9" s="84"/>
      <c r="E9" s="13" t="s">
        <v>73</v>
      </c>
    </row>
    <row r="10" spans="2:7" ht="20.100000000000001" customHeight="1" x14ac:dyDescent="0.15">
      <c r="B10" s="11" t="s">
        <v>5</v>
      </c>
      <c r="C10" s="85">
        <f>MAX(C9,C11)</f>
        <v>48388</v>
      </c>
      <c r="D10" s="86"/>
      <c r="E10" s="46" t="s">
        <v>75</v>
      </c>
    </row>
    <row r="11" spans="2:7" ht="20.100000000000001" customHeight="1" x14ac:dyDescent="0.15">
      <c r="B11" s="11" t="s">
        <v>6</v>
      </c>
      <c r="C11" s="83">
        <v>48388</v>
      </c>
      <c r="D11" s="84"/>
      <c r="E11" s="15" t="s">
        <v>74</v>
      </c>
    </row>
    <row r="12" spans="2:7" ht="20.100000000000001" customHeight="1" x14ac:dyDescent="0.15">
      <c r="B12" s="11" t="s">
        <v>7</v>
      </c>
      <c r="C12" s="87">
        <v>0.95</v>
      </c>
      <c r="D12" s="88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7" t="s">
        <v>8</v>
      </c>
      <c r="C14" s="78"/>
      <c r="D14" s="79"/>
      <c r="E14" s="17"/>
    </row>
    <row r="15" spans="2:7" ht="20.100000000000001" customHeight="1" x14ac:dyDescent="0.15">
      <c r="B15" s="18" t="s">
        <v>16</v>
      </c>
      <c r="C15" s="62">
        <f>C10*C7*D4</f>
        <v>1192280.32</v>
      </c>
      <c r="D15" s="62"/>
      <c r="E15" s="19" t="s">
        <v>13</v>
      </c>
    </row>
    <row r="16" spans="2:7" ht="20.100000000000001" customHeight="1" x14ac:dyDescent="0.15">
      <c r="B16" s="18" t="s">
        <v>17</v>
      </c>
      <c r="C16" s="62">
        <f>C11*30%*C7</f>
        <v>447105.12</v>
      </c>
      <c r="D16" s="62"/>
      <c r="E16" s="19" t="s">
        <v>11</v>
      </c>
    </row>
    <row r="17" spans="2:5" ht="20.100000000000001" customHeight="1" x14ac:dyDescent="0.15">
      <c r="B17" s="18" t="s">
        <v>18</v>
      </c>
      <c r="C17" s="62">
        <f>C11*15</f>
        <v>725820</v>
      </c>
      <c r="D17" s="62"/>
      <c r="E17" s="19" t="s">
        <v>14</v>
      </c>
    </row>
    <row r="18" spans="2:5" ht="20.100000000000001" customHeight="1" x14ac:dyDescent="0.15">
      <c r="B18" s="20" t="s">
        <v>19</v>
      </c>
      <c r="C18" s="80">
        <f>C17+C16+C15</f>
        <v>2365205.4400000004</v>
      </c>
      <c r="D18" s="80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59" t="s">
        <v>56</v>
      </c>
      <c r="C20" s="60"/>
      <c r="D20" s="60"/>
      <c r="E20" s="61"/>
    </row>
    <row r="21" spans="2:5" ht="20.100000000000001" customHeight="1" x14ac:dyDescent="0.15">
      <c r="B21" s="47" t="s">
        <v>47</v>
      </c>
      <c r="C21" s="63">
        <v>4</v>
      </c>
      <c r="D21" s="64"/>
      <c r="E21" s="48" t="s">
        <v>54</v>
      </c>
    </row>
    <row r="22" spans="2:5" ht="20.100000000000001" customHeight="1" x14ac:dyDescent="0.15">
      <c r="B22" s="11" t="s">
        <v>49</v>
      </c>
      <c r="C22" s="65">
        <v>21500</v>
      </c>
      <c r="D22" s="66"/>
      <c r="E22" s="13" t="s">
        <v>51</v>
      </c>
    </row>
    <row r="23" spans="2:5" ht="20.100000000000001" customHeight="1" x14ac:dyDescent="0.15">
      <c r="B23" s="11" t="s">
        <v>48</v>
      </c>
      <c r="C23" s="62">
        <f>C21*C22*22</f>
        <v>1892000</v>
      </c>
      <c r="D23" s="62"/>
      <c r="E23" s="13" t="s">
        <v>52</v>
      </c>
    </row>
    <row r="24" spans="2:5" ht="20.100000000000001" customHeight="1" x14ac:dyDescent="0.15">
      <c r="B24" s="23" t="s">
        <v>50</v>
      </c>
      <c r="C24" s="67" t="str">
        <f>IF(C23&gt;C18,"托底划算","不能托底")</f>
        <v>不能托底</v>
      </c>
      <c r="D24" s="68"/>
      <c r="E24" s="51" t="s">
        <v>53</v>
      </c>
    </row>
    <row r="25" spans="2:5" ht="20.100000000000001" customHeight="1" x14ac:dyDescent="0.15">
      <c r="B25" s="23" t="s">
        <v>57</v>
      </c>
      <c r="C25" s="62">
        <f>IF((C23-C18)&gt;0,(C23-C18),0)</f>
        <v>0</v>
      </c>
      <c r="D25" s="62"/>
      <c r="E25" s="51" t="s">
        <v>58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32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20</v>
      </c>
      <c r="C28" s="6">
        <v>350000</v>
      </c>
      <c r="D28" s="30">
        <f>C28</f>
        <v>350000</v>
      </c>
      <c r="E28" s="19" t="s">
        <v>40</v>
      </c>
    </row>
    <row r="29" spans="2:5" ht="20.100000000000001" customHeight="1" x14ac:dyDescent="0.15">
      <c r="B29" s="29" t="s">
        <v>22</v>
      </c>
      <c r="C29" s="6">
        <v>5000</v>
      </c>
      <c r="D29" s="30">
        <f>C29*C7</f>
        <v>154000</v>
      </c>
      <c r="E29" s="19" t="s">
        <v>67</v>
      </c>
    </row>
    <row r="30" spans="2:5" ht="20.100000000000001" customHeight="1" x14ac:dyDescent="0.15">
      <c r="B30" s="29" t="s">
        <v>42</v>
      </c>
      <c r="C30" s="6">
        <v>6000</v>
      </c>
      <c r="D30" s="30">
        <f>IF(C30*C7&gt;150000,C30*C7,150000)</f>
        <v>184800</v>
      </c>
      <c r="E30" s="19" t="s">
        <v>68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43</v>
      </c>
    </row>
    <row r="32" spans="2:5" ht="20.100000000000001" customHeight="1" x14ac:dyDescent="0.15">
      <c r="B32" s="29" t="s">
        <v>41</v>
      </c>
      <c r="C32" s="6">
        <v>150000</v>
      </c>
      <c r="D32" s="30">
        <f>C32</f>
        <v>150000</v>
      </c>
      <c r="E32" s="19" t="s">
        <v>23</v>
      </c>
    </row>
    <row r="33" spans="2:5" ht="20.100000000000001" customHeight="1" x14ac:dyDescent="0.15">
      <c r="B33" s="29" t="s">
        <v>25</v>
      </c>
      <c r="C33" s="6">
        <v>50000</v>
      </c>
      <c r="D33" s="30">
        <f>C33</f>
        <v>50000</v>
      </c>
      <c r="E33" s="19" t="s">
        <v>26</v>
      </c>
    </row>
    <row r="34" spans="2:5" ht="20.100000000000001" customHeight="1" x14ac:dyDescent="0.15">
      <c r="B34" s="29" t="s">
        <v>37</v>
      </c>
      <c r="C34" s="6">
        <v>8000</v>
      </c>
      <c r="D34" s="30">
        <f>IF(C34*C7&gt;200000,C34*C7,200000)</f>
        <v>246400</v>
      </c>
      <c r="E34" s="19" t="s">
        <v>77</v>
      </c>
    </row>
    <row r="35" spans="2:5" ht="20.100000000000001" customHeight="1" x14ac:dyDescent="0.15">
      <c r="B35" s="29" t="s">
        <v>38</v>
      </c>
      <c r="C35" s="6">
        <v>10000</v>
      </c>
      <c r="D35" s="30">
        <f>IF(C35*C7&gt;300000,C35*C7,300000)</f>
        <v>308000</v>
      </c>
      <c r="E35" s="19" t="s">
        <v>55</v>
      </c>
    </row>
    <row r="36" spans="2:5" ht="20.100000000000001" customHeight="1" x14ac:dyDescent="0.15">
      <c r="B36" s="29" t="s">
        <v>39</v>
      </c>
      <c r="C36" s="6"/>
      <c r="D36" s="44"/>
      <c r="E36" s="19"/>
    </row>
    <row r="37" spans="2:5" ht="20.100000000000001" customHeight="1" x14ac:dyDescent="0.15">
      <c r="B37" s="29" t="s">
        <v>27</v>
      </c>
      <c r="C37" s="6">
        <v>12</v>
      </c>
      <c r="D37" s="30">
        <f>IF(C37*C7&gt;1000,C37*C7,1000)</f>
        <v>1000</v>
      </c>
      <c r="E37" s="19" t="s">
        <v>28</v>
      </c>
    </row>
    <row r="38" spans="2:5" ht="20.100000000000001" customHeight="1" x14ac:dyDescent="0.15">
      <c r="B38" s="29" t="s">
        <v>29</v>
      </c>
      <c r="C38" s="6">
        <v>2000</v>
      </c>
      <c r="D38" s="30">
        <v>2000</v>
      </c>
      <c r="E38" s="19" t="s">
        <v>30</v>
      </c>
    </row>
    <row r="39" spans="2:5" ht="20.100000000000001" customHeight="1" x14ac:dyDescent="0.15">
      <c r="B39" s="29" t="s">
        <v>31</v>
      </c>
      <c r="C39" s="6">
        <v>50000</v>
      </c>
      <c r="D39" s="30">
        <v>50000</v>
      </c>
      <c r="E39" s="19" t="s">
        <v>33</v>
      </c>
    </row>
    <row r="40" spans="2:5" ht="20.100000000000001" customHeight="1" x14ac:dyDescent="0.15">
      <c r="B40" s="29" t="s">
        <v>21</v>
      </c>
      <c r="C40" s="6">
        <v>5000</v>
      </c>
      <c r="D40" s="30">
        <f>(C12-85%)*100*C40</f>
        <v>49999.999999999993</v>
      </c>
      <c r="E40" s="19" t="s">
        <v>24</v>
      </c>
    </row>
    <row r="41" spans="2:5" ht="20.100000000000001" customHeight="1" x14ac:dyDescent="0.15">
      <c r="B41" s="23" t="s">
        <v>34</v>
      </c>
      <c r="C41" s="71">
        <f>SUM(D28:D40)</f>
        <v>1601200</v>
      </c>
      <c r="D41" s="72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35</v>
      </c>
      <c r="C43" s="30">
        <v>5000</v>
      </c>
      <c r="D43" s="30">
        <v>5000</v>
      </c>
      <c r="E43" s="19" t="s">
        <v>36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71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72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69" t="s">
        <v>69</v>
      </c>
      <c r="C47" s="69"/>
      <c r="D47" s="69"/>
      <c r="E47" s="69"/>
    </row>
  </sheetData>
  <sheetProtection password="9E68" sheet="1" objects="1" scenarios="1"/>
  <mergeCells count="24"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2021-04-02T04:26:33Z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