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D31" i="4" l="1"/>
  <c r="D29" i="4"/>
  <c r="C7" i="4" l="1"/>
  <c r="C10" i="4" l="1"/>
  <c r="D37" i="4" l="1"/>
  <c r="D28" i="4"/>
  <c r="C17" i="4"/>
  <c r="D36" i="4" l="1"/>
  <c r="D32" i="4"/>
  <c r="C23" i="4"/>
  <c r="D4" i="4" l="1"/>
  <c r="C15" i="4" s="1"/>
  <c r="D34" i="4" l="1"/>
  <c r="C16" i="4"/>
  <c r="D30" i="4"/>
  <c r="C39" i="4" l="1"/>
  <c r="C18" i="4"/>
  <c r="D44" i="4" l="1"/>
  <c r="G24" i="4"/>
  <c r="C24" i="4" s="1"/>
  <c r="C25" i="4"/>
  <c r="D43" i="4"/>
</calcChain>
</file>

<file path=xl/sharedStrings.xml><?xml version="1.0" encoding="utf-8"?>
<sst xmlns="http://schemas.openxmlformats.org/spreadsheetml/2006/main" count="75" uniqueCount="75">
  <si>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</si>
  <si>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</si>
  <si>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</si>
  <si>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</si>
  <si>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</si>
  <si>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</si>
  <si>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</si>
  <si>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</si>
  <si>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</si>
  <si>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</si>
  <si>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</si>
  <si>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</si>
  <si>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</si>
  <si>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</si>
  <si>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</si>
  <si>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</si>
  <si>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</si>
  <si>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房屋征收补偿合计</t>
  </si>
  <si>
    <t>1、按期签约奖</t>
  </si>
  <si>
    <t xml:space="preserve">   搬家补助费</t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</si>
  <si>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</si>
  <si>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</si>
  <si>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</si>
  <si>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奖励合计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</si>
  <si>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</si>
  <si>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</si>
  <si>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</si>
  <si>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</si>
  <si>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</si>
  <si>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</si>
  <si>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</si>
  <si>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按每人22平米X折算单价X人头数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</si>
  <si>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</si>
  <si>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</si>
  <si>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</si>
  <si>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</si>
  <si>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</si>
  <si>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</si>
  <si>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</si>
  <si>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</si>
  <si>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</si>
  <si>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</si>
  <si>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</si>
  <si>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</si>
  <si>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</si>
  <si>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</si>
  <si>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</si>
  <si>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套型面积补贴（成套）</t>
    <phoneticPr fontId="19" type="noConversion"/>
  </si>
  <si>
    <t>套型面积补贴（不成套）</t>
  </si>
  <si>
    <t>套型面积补贴（不成套）</t>
    <phoneticPr fontId="19" type="noConversion"/>
  </si>
  <si>
    <t>每户奖励50万元。</t>
    <phoneticPr fontId="19" type="noConversion"/>
  </si>
  <si>
    <t>每户10万元。</t>
    <phoneticPr fontId="19" type="noConversion"/>
  </si>
  <si>
    <t>搬家补助费=被征收房屋建筑面积×24元/平方米，不足1千元，按1千元计。</t>
    <phoneticPr fontId="19" type="noConversion"/>
  </si>
  <si>
    <t>2、按期搬迁奖</t>
    <phoneticPr fontId="19" type="noConversion"/>
  </si>
  <si>
    <t>3、均衡实物安置补贴</t>
    <phoneticPr fontId="19" type="noConversion"/>
  </si>
  <si>
    <t>4、其他补贴</t>
    <phoneticPr fontId="19" type="noConversion"/>
  </si>
  <si>
    <t>每户建筑面积×1.4万元，不足40万元，按40万元计算。</t>
    <phoneticPr fontId="19" type="noConversion"/>
  </si>
  <si>
    <t xml:space="preserve">   装修补贴</t>
    <phoneticPr fontId="19" type="noConversion"/>
  </si>
  <si>
    <t>每平米500元。</t>
    <phoneticPr fontId="19" type="noConversion"/>
  </si>
  <si>
    <t>每户1万元。</t>
    <phoneticPr fontId="19" type="noConversion"/>
  </si>
  <si>
    <t>户口迁出补贴</t>
    <phoneticPr fontId="19" type="noConversion"/>
  </si>
  <si>
    <t>为黄浦区近期数据，该地块可能会调整。</t>
    <phoneticPr fontId="19" type="noConversion"/>
  </si>
  <si>
    <t>判断几人符合托底条件</t>
    <phoneticPr fontId="19" type="noConversion"/>
  </si>
  <si>
    <t>居住困难人数（户籍在内或引进人员人均住房不足22平米）</t>
    <phoneticPr fontId="19" type="noConversion"/>
  </si>
  <si>
    <t>5、（无）不予认定建筑面积材料补贴</t>
    <phoneticPr fontId="19" type="noConversion"/>
  </si>
  <si>
    <t>评估单价&lt;评估均价，按评估均价。</t>
    <phoneticPr fontId="19" type="noConversion"/>
  </si>
  <si>
    <t>输入基地的评估均价。</t>
    <phoneticPr fontId="19" type="noConversion"/>
  </si>
  <si>
    <t>在签约期的1-30天签约的居民，每户奖励50万元。</t>
    <phoneticPr fontId="19" type="noConversion"/>
  </si>
  <si>
    <t>注：本表数值仅供参考，具体数值以征收协议和结算单为准。若有错漏，欢迎指正:)</t>
    <phoneticPr fontId="19" type="noConversion"/>
  </si>
  <si>
    <t>签约面积奖</t>
    <phoneticPr fontId="19" type="noConversion"/>
  </si>
  <si>
    <t>建筑面积超25平米部分，增加1平米加5000元。</t>
    <phoneticPr fontId="19" type="noConversion"/>
  </si>
  <si>
    <t>搬迁面积奖</t>
    <phoneticPr fontId="19" type="noConversion"/>
  </si>
  <si>
    <t>建筑面积超25平米部分，增加1平米加1000元。</t>
    <phoneticPr fontId="19" type="noConversion"/>
  </si>
  <si>
    <t>评估价格=评估单价×被征收房屋的建筑面积(公房X0.8)</t>
    <phoneticPr fontId="19" type="noConversion"/>
  </si>
  <si>
    <t>厦门路地块110、111、133、134街坊征收补偿计算表（正式稿）--朱律师 13917722985
（动迁政策/补偿分配咨询）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</si>
</sst>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family val="3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2" fillId="28" borderId="15" xfId="0" applyFont="1" applyFill="1" applyBorder="1" applyAlignment="1" applyProtection="1">
      <alignment horizontal="left" vertical="center" indent="1"/>
      <protection locked="0"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hidden="1"/>
    </xf>
    <xf numFmtId="5" fontId="23" fillId="26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  <xdr:twoCellAnchor>
    <xdr:from>
      <xdr:col>1</xdr:col>
      <xdr:colOff>2623708</xdr:colOff>
      <xdr:row>16</xdr:row>
      <xdr:rowOff>95250</xdr:rowOff>
    </xdr:from>
    <xdr:to>
      <xdr:col>1</xdr:col>
      <xdr:colOff>2770910</xdr:colOff>
      <xdr:row>16</xdr:row>
      <xdr:rowOff>242452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4935" y="4779818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showGridLines="0" tabSelected="1" topLeftCell="A13" zoomScale="110" zoomScaleNormal="110" zoomScaleSheetLayoutView="100" workbookViewId="0">
      <selection activeCell="D32" sqref="D32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76" t="s">
        <v>74</v>
      </c>
      <c r="C1" s="77"/>
      <c r="D1" s="77"/>
      <c r="E1" s="77"/>
    </row>
    <row r="2" spans="2:7" ht="19.5" customHeight="1" x14ac:dyDescent="0.15">
      <c r="B2" s="71" t="s">
        <v>35</v>
      </c>
      <c r="C2" s="71"/>
      <c r="D2" s="71"/>
      <c r="E2" s="71"/>
    </row>
    <row r="3" spans="2:7" ht="20.100000000000001" customHeight="1" x14ac:dyDescent="0.15">
      <c r="B3" s="49" t="s">
        <v>0</v>
      </c>
      <c r="C3" s="74" t="s">
        <v>38</v>
      </c>
      <c r="D3" s="75"/>
      <c r="E3" s="50" t="s">
        <v>1</v>
      </c>
    </row>
    <row r="4" spans="2:7" ht="20.100000000000001" customHeight="1" x14ac:dyDescent="0.15">
      <c r="B4" s="11" t="s">
        <v>2</v>
      </c>
      <c r="C4" s="5" t="s">
        <v>24</v>
      </c>
      <c r="D4" s="12">
        <f>IF(C4="公房",0.8,1)</f>
        <v>0.8</v>
      </c>
      <c r="E4" s="45" t="s">
        <v>42</v>
      </c>
    </row>
    <row r="5" spans="2:7" ht="20.100000000000001" customHeight="1" x14ac:dyDescent="0.15">
      <c r="B5" s="54" t="s">
        <v>40</v>
      </c>
      <c r="C5" s="82">
        <v>22</v>
      </c>
      <c r="D5" s="83"/>
      <c r="E5" s="52" t="s">
        <v>36</v>
      </c>
      <c r="G5" s="53" t="s">
        <v>43</v>
      </c>
    </row>
    <row r="6" spans="2:7" ht="20.100000000000001" customHeight="1" x14ac:dyDescent="0.15">
      <c r="B6" s="11" t="s">
        <v>37</v>
      </c>
      <c r="C6" s="58">
        <v>1.54</v>
      </c>
      <c r="D6" s="59"/>
      <c r="E6" s="14" t="s">
        <v>26</v>
      </c>
      <c r="G6" s="53" t="s">
        <v>41</v>
      </c>
    </row>
    <row r="7" spans="2:7" ht="20.100000000000001" customHeight="1" x14ac:dyDescent="0.15">
      <c r="B7" s="11" t="s">
        <v>25</v>
      </c>
      <c r="C7" s="56">
        <f>IF(OR(B5="建筑面积（这里下拉选择！）",C4="私房"),C5,ROUND(C5*1.54,2))</f>
        <v>33.880000000000003</v>
      </c>
      <c r="D7" s="57"/>
      <c r="E7" s="13" t="s">
        <v>39</v>
      </c>
    </row>
    <row r="8" spans="2:7" ht="20.100000000000001" customHeight="1" x14ac:dyDescent="0.15">
      <c r="B8" s="11" t="s">
        <v>3</v>
      </c>
      <c r="C8" s="56">
        <v>0</v>
      </c>
      <c r="D8" s="57"/>
      <c r="E8" s="13"/>
    </row>
    <row r="9" spans="2:7" ht="20.100000000000001" customHeight="1" x14ac:dyDescent="0.15">
      <c r="B9" s="11" t="s">
        <v>4</v>
      </c>
      <c r="C9" s="84">
        <v>54175</v>
      </c>
      <c r="D9" s="85"/>
      <c r="E9" s="13" t="s">
        <v>46</v>
      </c>
    </row>
    <row r="10" spans="2:7" ht="20.100000000000001" customHeight="1" x14ac:dyDescent="0.15">
      <c r="B10" s="11" t="s">
        <v>5</v>
      </c>
      <c r="C10" s="86">
        <f>MAX(C11,C9)</f>
        <v>54175</v>
      </c>
      <c r="D10" s="87"/>
      <c r="E10" s="46" t="s">
        <v>65</v>
      </c>
    </row>
    <row r="11" spans="2:7" ht="20.100000000000001" customHeight="1" x14ac:dyDescent="0.15">
      <c r="B11" s="11" t="s">
        <v>6</v>
      </c>
      <c r="C11" s="84">
        <v>54175</v>
      </c>
      <c r="D11" s="85"/>
      <c r="E11" s="15" t="s">
        <v>66</v>
      </c>
    </row>
    <row r="12" spans="2:7" ht="20.100000000000001" customHeight="1" x14ac:dyDescent="0.15">
      <c r="B12" s="11" t="s">
        <v>7</v>
      </c>
      <c r="C12" s="88">
        <v>0.98</v>
      </c>
      <c r="D12" s="89"/>
      <c r="E12" s="13" t="s">
        <v>12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78" t="s">
        <v>8</v>
      </c>
      <c r="C14" s="79"/>
      <c r="D14" s="80"/>
      <c r="E14" s="17"/>
      <c r="G14" s="53" t="s">
        <v>47</v>
      </c>
    </row>
    <row r="15" spans="2:7" ht="20.100000000000001" customHeight="1" x14ac:dyDescent="0.15">
      <c r="B15" s="18" t="s">
        <v>15</v>
      </c>
      <c r="C15" s="63">
        <f>C10*C7*D4</f>
        <v>1468359.2000000002</v>
      </c>
      <c r="D15" s="63"/>
      <c r="E15" s="19" t="s">
        <v>73</v>
      </c>
      <c r="G15" s="53" t="s">
        <v>49</v>
      </c>
    </row>
    <row r="16" spans="2:7" ht="20.100000000000001" customHeight="1" x14ac:dyDescent="0.15">
      <c r="B16" s="18" t="s">
        <v>16</v>
      </c>
      <c r="C16" s="63">
        <f>C11*30%*C7</f>
        <v>550634.70000000007</v>
      </c>
      <c r="D16" s="63"/>
      <c r="E16" s="19" t="s">
        <v>11</v>
      </c>
    </row>
    <row r="17" spans="2:7" ht="20.100000000000001" customHeight="1" x14ac:dyDescent="0.15">
      <c r="B17" s="55" t="s">
        <v>48</v>
      </c>
      <c r="C17" s="63">
        <f>IF(B17=G15,C11*15,C11*12)</f>
        <v>812625</v>
      </c>
      <c r="D17" s="63"/>
      <c r="E17" s="19" t="s">
        <v>13</v>
      </c>
    </row>
    <row r="18" spans="2:7" ht="20.100000000000001" customHeight="1" x14ac:dyDescent="0.15">
      <c r="B18" s="20" t="s">
        <v>17</v>
      </c>
      <c r="C18" s="81">
        <f>C17+C16+C15</f>
        <v>2831618.9000000004</v>
      </c>
      <c r="D18" s="81"/>
      <c r="E18" s="19" t="s">
        <v>14</v>
      </c>
    </row>
    <row r="19" spans="2:7" ht="8.25" customHeight="1" thickBot="1" x14ac:dyDescent="0.2">
      <c r="B19" s="21"/>
      <c r="C19" s="21"/>
      <c r="D19" s="21"/>
      <c r="E19" s="22"/>
    </row>
    <row r="20" spans="2:7" ht="19.5" customHeight="1" thickBot="1" x14ac:dyDescent="0.2">
      <c r="B20" s="60" t="s">
        <v>32</v>
      </c>
      <c r="C20" s="61"/>
      <c r="D20" s="61"/>
      <c r="E20" s="62"/>
    </row>
    <row r="21" spans="2:7" ht="20.100000000000001" customHeight="1" x14ac:dyDescent="0.15">
      <c r="B21" s="47" t="s">
        <v>27</v>
      </c>
      <c r="C21" s="64">
        <v>2</v>
      </c>
      <c r="D21" s="65"/>
      <c r="E21" s="48" t="s">
        <v>63</v>
      </c>
    </row>
    <row r="22" spans="2:7" ht="20.100000000000001" customHeight="1" x14ac:dyDescent="0.15">
      <c r="B22" s="11" t="s">
        <v>29</v>
      </c>
      <c r="C22" s="66">
        <v>21000</v>
      </c>
      <c r="D22" s="67"/>
      <c r="E22" s="13" t="s">
        <v>61</v>
      </c>
    </row>
    <row r="23" spans="2:7" ht="20.100000000000001" customHeight="1" x14ac:dyDescent="0.15">
      <c r="B23" s="11" t="s">
        <v>28</v>
      </c>
      <c r="C23" s="63">
        <f>C21*C22*22</f>
        <v>924000</v>
      </c>
      <c r="D23" s="63"/>
      <c r="E23" s="13" t="s">
        <v>31</v>
      </c>
    </row>
    <row r="24" spans="2:7" ht="20.100000000000001" customHeight="1" x14ac:dyDescent="0.15">
      <c r="B24" s="23" t="s">
        <v>30</v>
      </c>
      <c r="C24" s="68" t="str">
        <f>"需要"&amp;G24&amp;"人才能托底"</f>
        <v>需要7人才能托底</v>
      </c>
      <c r="D24" s="69"/>
      <c r="E24" s="51" t="s">
        <v>62</v>
      </c>
      <c r="G24" s="53">
        <f>TRUNC(C18/(C22*22))+1</f>
        <v>7</v>
      </c>
    </row>
    <row r="25" spans="2:7" ht="20.100000000000001" customHeight="1" x14ac:dyDescent="0.15">
      <c r="B25" s="23" t="s">
        <v>33</v>
      </c>
      <c r="C25" s="63">
        <f>IF((C23-C18)&gt;0,(C23-C18),0)</f>
        <v>0</v>
      </c>
      <c r="D25" s="63"/>
      <c r="E25" s="51" t="s">
        <v>34</v>
      </c>
    </row>
    <row r="26" spans="2:7" ht="9.9499999999999993" customHeight="1" x14ac:dyDescent="0.15">
      <c r="B26" s="24"/>
      <c r="C26" s="25"/>
      <c r="D26" s="26"/>
      <c r="E26" s="9"/>
    </row>
    <row r="27" spans="2:7" ht="20.100000000000001" customHeight="1" x14ac:dyDescent="0.15">
      <c r="B27" s="10" t="s">
        <v>22</v>
      </c>
      <c r="C27" s="27" t="s">
        <v>9</v>
      </c>
      <c r="D27" s="10" t="s">
        <v>10</v>
      </c>
      <c r="E27" s="28"/>
    </row>
    <row r="28" spans="2:7" ht="20.100000000000001" customHeight="1" x14ac:dyDescent="0.15">
      <c r="B28" s="29" t="s">
        <v>18</v>
      </c>
      <c r="C28" s="6">
        <v>500000</v>
      </c>
      <c r="D28" s="30">
        <f>C28</f>
        <v>500000</v>
      </c>
      <c r="E28" s="19" t="s">
        <v>67</v>
      </c>
    </row>
    <row r="29" spans="2:7" ht="20.100000000000001" customHeight="1" x14ac:dyDescent="0.15">
      <c r="B29" s="29" t="s">
        <v>69</v>
      </c>
      <c r="C29" s="6">
        <v>5000</v>
      </c>
      <c r="D29" s="30">
        <f>MAX(C29*(C7-25),0)</f>
        <v>44400.000000000015</v>
      </c>
      <c r="E29" s="19" t="s">
        <v>70</v>
      </c>
    </row>
    <row r="30" spans="2:7" ht="20.100000000000001" customHeight="1" x14ac:dyDescent="0.15">
      <c r="B30" s="29" t="s">
        <v>53</v>
      </c>
      <c r="C30" s="6">
        <v>500000</v>
      </c>
      <c r="D30" s="30">
        <f>C30</f>
        <v>500000</v>
      </c>
      <c r="E30" s="19" t="s">
        <v>50</v>
      </c>
    </row>
    <row r="31" spans="2:7" ht="20.100000000000001" customHeight="1" x14ac:dyDescent="0.15">
      <c r="B31" s="29" t="s">
        <v>71</v>
      </c>
      <c r="C31" s="6">
        <v>1000</v>
      </c>
      <c r="D31" s="30">
        <f>MAX(C31*(C7-25),0)</f>
        <v>8880.0000000000018</v>
      </c>
      <c r="E31" s="19" t="s">
        <v>72</v>
      </c>
    </row>
    <row r="32" spans="2:7" ht="20.100000000000001" customHeight="1" x14ac:dyDescent="0.15">
      <c r="B32" s="29" t="s">
        <v>54</v>
      </c>
      <c r="C32" s="6">
        <v>14000</v>
      </c>
      <c r="D32" s="30">
        <f>IF(C32*C7&gt;400000,C32*C7,400000)</f>
        <v>474320.00000000006</v>
      </c>
      <c r="E32" s="19" t="s">
        <v>56</v>
      </c>
    </row>
    <row r="33" spans="2:5" ht="20.100000000000001" customHeight="1" x14ac:dyDescent="0.15">
      <c r="B33" s="29" t="s">
        <v>55</v>
      </c>
      <c r="C33" s="6"/>
      <c r="D33" s="44"/>
      <c r="E33" s="19"/>
    </row>
    <row r="34" spans="2:5" ht="20.100000000000001" customHeight="1" x14ac:dyDescent="0.15">
      <c r="B34" s="29" t="s">
        <v>19</v>
      </c>
      <c r="C34" s="6">
        <v>24</v>
      </c>
      <c r="D34" s="30">
        <f>IF(C34*C7&gt;1000,C34*C7,1000)</f>
        <v>1000</v>
      </c>
      <c r="E34" s="19" t="s">
        <v>52</v>
      </c>
    </row>
    <row r="35" spans="2:5" ht="20.100000000000001" customHeight="1" x14ac:dyDescent="0.15">
      <c r="B35" s="29" t="s">
        <v>20</v>
      </c>
      <c r="C35" s="6">
        <v>2000</v>
      </c>
      <c r="D35" s="30">
        <v>2000</v>
      </c>
      <c r="E35" s="19" t="s">
        <v>21</v>
      </c>
    </row>
    <row r="36" spans="2:5" ht="20.100000000000001" customHeight="1" x14ac:dyDescent="0.15">
      <c r="B36" s="29" t="s">
        <v>57</v>
      </c>
      <c r="C36" s="6">
        <v>500</v>
      </c>
      <c r="D36" s="30">
        <f>C36*C7</f>
        <v>16940</v>
      </c>
      <c r="E36" s="19" t="s">
        <v>58</v>
      </c>
    </row>
    <row r="37" spans="2:5" ht="20.100000000000001" customHeight="1" x14ac:dyDescent="0.15">
      <c r="B37" s="29" t="s">
        <v>64</v>
      </c>
      <c r="C37" s="6">
        <v>100000</v>
      </c>
      <c r="D37" s="30">
        <f>C37</f>
        <v>100000</v>
      </c>
      <c r="E37" s="19" t="s">
        <v>51</v>
      </c>
    </row>
    <row r="38" spans="2:5" ht="20.100000000000001" customHeight="1" x14ac:dyDescent="0.15">
      <c r="B38" s="29"/>
      <c r="C38" s="6"/>
      <c r="D38" s="30"/>
      <c r="E38" s="19"/>
    </row>
    <row r="39" spans="2:5" ht="20.100000000000001" customHeight="1" x14ac:dyDescent="0.15">
      <c r="B39" s="23" t="s">
        <v>23</v>
      </c>
      <c r="C39" s="72">
        <f>SUM(D28:D38)</f>
        <v>1647540</v>
      </c>
      <c r="D39" s="73"/>
      <c r="E39" s="19"/>
    </row>
    <row r="40" spans="2:5" ht="9.9499999999999993" customHeight="1" x14ac:dyDescent="0.15">
      <c r="B40" s="31"/>
      <c r="C40" s="32"/>
      <c r="D40" s="33"/>
      <c r="E40" s="34"/>
    </row>
    <row r="41" spans="2:5" ht="20.100000000000001" customHeight="1" x14ac:dyDescent="0.15">
      <c r="B41" s="11" t="s">
        <v>60</v>
      </c>
      <c r="C41" s="30">
        <v>10000</v>
      </c>
      <c r="D41" s="30">
        <v>10000</v>
      </c>
      <c r="E41" s="19" t="s">
        <v>59</v>
      </c>
    </row>
    <row r="42" spans="2:5" ht="9.9499999999999993" customHeight="1" x14ac:dyDescent="0.15">
      <c r="B42" s="24"/>
      <c r="C42" s="25"/>
      <c r="D42" s="25"/>
      <c r="E42" s="35"/>
    </row>
    <row r="43" spans="2:5" ht="20.100000000000001" customHeight="1" x14ac:dyDescent="0.15">
      <c r="B43" s="36" t="s">
        <v>44</v>
      </c>
      <c r="C43" s="37"/>
      <c r="D43" s="38">
        <f>SUM(IF(C18&gt;C23,C18,C23),D28:D31,D34:D38,D41)</f>
        <v>4014838.9000000004</v>
      </c>
      <c r="E43" s="39"/>
    </row>
    <row r="44" spans="2:5" ht="20.100000000000001" customHeight="1" x14ac:dyDescent="0.15">
      <c r="B44" s="40" t="s">
        <v>45</v>
      </c>
      <c r="C44" s="41"/>
      <c r="D44" s="42">
        <f>SUM(IF(C18&gt;C23,C18,C23),C39,D41)</f>
        <v>4489158.9000000004</v>
      </c>
      <c r="E44" s="43"/>
    </row>
    <row r="45" spans="2:5" ht="23.25" customHeight="1" x14ac:dyDescent="0.15">
      <c r="B45" s="70" t="s">
        <v>68</v>
      </c>
      <c r="C45" s="70"/>
      <c r="D45" s="70"/>
      <c r="E45" s="70"/>
    </row>
  </sheetData>
  <sheetProtection password="9E68" sheet="1" objects="1" scenarios="1"/>
  <mergeCells count="24">
    <mergeCell ref="B45:E45"/>
    <mergeCell ref="B2:E2"/>
    <mergeCell ref="C39:D39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  <mergeCell ref="C8:D8"/>
    <mergeCell ref="C6:D6"/>
    <mergeCell ref="B20:E20"/>
    <mergeCell ref="C25:D25"/>
    <mergeCell ref="C21:D21"/>
    <mergeCell ref="C22:D22"/>
    <mergeCell ref="C23:D23"/>
    <mergeCell ref="C24:D24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5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  <dataValidation type="list" allowBlank="1" showInputMessage="1" showErrorMessage="1" sqref="B17">
      <formula1>$G$14:$G$15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2021-11-27T04:41:30Z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